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4_0.bin" ContentType="application/vnd.openxmlformats-officedocument.oleObject"/>
  <Override PartName="/xl/embeddings/oleObject_1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000" windowHeight="6480" tabRatio="869" activeTab="0"/>
  </bookViews>
  <sheets>
    <sheet name="Subcontracts" sheetId="1" r:id="rId1"/>
    <sheet name="Print" sheetId="2" r:id="rId2"/>
    <sheet name="FacePage" sheetId="3" r:id="rId3"/>
    <sheet name="Year 1" sheetId="4" r:id="rId4"/>
    <sheet name="Year 2" sheetId="5" r:id="rId5"/>
    <sheet name="Year 3" sheetId="6" r:id="rId6"/>
    <sheet name="Year 4" sheetId="7" r:id="rId7"/>
    <sheet name="Year 5" sheetId="8" r:id="rId8"/>
    <sheet name="Total Page" sheetId="9" r:id="rId9"/>
    <sheet name="EXTRA" sheetId="10" r:id="rId10"/>
    <sheet name="IDC" sheetId="11" r:id="rId11"/>
    <sheet name="Checklist" sheetId="12" r:id="rId12"/>
    <sheet name="Modules" sheetId="13" r:id="rId13"/>
    <sheet name="JustificationData" sheetId="14" r:id="rId14"/>
    <sheet name="Mod Just Page" sheetId="15" r:id="rId15"/>
  </sheets>
  <externalReferences>
    <externalReference r:id="rId18"/>
    <externalReference r:id="rId19"/>
  </externalReferences>
  <definedNames>
    <definedName name="_Regression_Int" localSheetId="2" hidden="1">1</definedName>
    <definedName name="_xlnm.Print_Area" localSheetId="11">'Checklist'!$A$1:$L$58</definedName>
    <definedName name="_xlnm.Print_Area" localSheetId="9">'EXTRA'!$A$1:$J$30</definedName>
    <definedName name="_xlnm.Print_Area" localSheetId="2">'FacePage'!$A$1:$Q$57</definedName>
    <definedName name="_xlnm.Print_Area" localSheetId="13">'JustificationData'!$A$1:$G$33</definedName>
    <definedName name="_xlnm.Print_Area" localSheetId="12">'Modules'!$A$1:$G$35</definedName>
    <definedName name="_xlnm.Print_Area" localSheetId="0">'Subcontracts'!$A$1:$AE$45,'Subcontracts'!$A$48:$H$93</definedName>
    <definedName name="_xlnm.Print_Area" localSheetId="8">'Total Page'!$A$4:$G$54</definedName>
    <definedName name="_xlnm.Print_Area" localSheetId="3">'Year 1'!$C$6:$L$84</definedName>
    <definedName name="_xlnm.Print_Area" localSheetId="4">'Year 2'!$C$6:$L$85</definedName>
    <definedName name="_xlnm.Print_Area" localSheetId="5">'Year 3'!$C$6:$L$84</definedName>
    <definedName name="_xlnm.Print_Area" localSheetId="6">'Year 4'!$C$6:$L$84</definedName>
    <definedName name="_xlnm.Print_Area" localSheetId="7">'Year 5'!$C$7:$L$84</definedName>
    <definedName name="_xlnm.Print_Area">'Year 1'!$Q$99:$AA$151</definedName>
    <definedName name="Print_Area_MI" localSheetId="2">'FacePage'!$A$1:$R$84</definedName>
    <definedName name="Print_Area_MI">'Year 1'!$O$98:$X$151</definedName>
    <definedName name="Print_Titles_MI" localSheetId="11">'[1]FacePage'!#REF!</definedName>
    <definedName name="Print_Titles_MI">'FacePage'!#REF!</definedName>
    <definedName name="PRSALARY">#REF!</definedName>
    <definedName name="PSDate">'Subcontracts'!$D$19</definedName>
  </definedNames>
  <calcPr fullCalcOnLoad="1"/>
</workbook>
</file>

<file path=xl/sharedStrings.xml><?xml version="1.0" encoding="utf-8"?>
<sst xmlns="http://schemas.openxmlformats.org/spreadsheetml/2006/main" count="1053" uniqueCount="472">
  <si>
    <t>NIH BUDGET DATA</t>
  </si>
  <si>
    <t>Enter Project Start Date</t>
  </si>
  <si>
    <t>Duration</t>
  </si>
  <si>
    <t>Increase Percentage:</t>
  </si>
  <si>
    <t xml:space="preserve">Computer Science &amp; Engineering </t>
  </si>
  <si>
    <t>Personnel</t>
  </si>
  <si>
    <t>Architecture</t>
  </si>
  <si>
    <t>OTPS</t>
  </si>
  <si>
    <t>Arts &amp; Sciences</t>
  </si>
  <si>
    <t>Engineering</t>
  </si>
  <si>
    <t>Tuition:</t>
  </si>
  <si>
    <t>Grad Sch of Ed</t>
  </si>
  <si>
    <t>Informatics</t>
  </si>
  <si>
    <t>Nursing</t>
  </si>
  <si>
    <t>Social Work</t>
  </si>
  <si>
    <t>Enter Subcontract/Consortium Total Costs for Each Year</t>
  </si>
  <si>
    <t>Pharmacy</t>
  </si>
  <si>
    <t>Year 1</t>
  </si>
  <si>
    <t>Year 2</t>
  </si>
  <si>
    <t>Year 3</t>
  </si>
  <si>
    <t>Year 4</t>
  </si>
  <si>
    <t>Year 5</t>
  </si>
  <si>
    <t>Total</t>
  </si>
  <si>
    <t>Law</t>
  </si>
  <si>
    <t>Subcontract 1 Direct Costs</t>
  </si>
  <si>
    <t>Subcontract 1 Indirect Costs</t>
  </si>
  <si>
    <t>Subcontract 2 Direct Costs</t>
  </si>
  <si>
    <t>Subcontract 2 Indirect Costs</t>
  </si>
  <si>
    <t>Subcontract 3 Direct Costs</t>
  </si>
  <si>
    <t>Subcontract 3 Indirect Costs</t>
  </si>
  <si>
    <t>Subcontract 4 Direct Costs</t>
  </si>
  <si>
    <t>Subcontract 4 Indirect Costs</t>
  </si>
  <si>
    <t>Subcontract 5 Direct Costs</t>
  </si>
  <si>
    <t>Subcontract 5 Indirect Costs</t>
  </si>
  <si>
    <t>Subcontract 1</t>
  </si>
  <si>
    <t>Subcontract 2</t>
  </si>
  <si>
    <t>Subcontract 3</t>
  </si>
  <si>
    <t>Subcontract 4</t>
  </si>
  <si>
    <t>Subcontract 5</t>
  </si>
  <si>
    <t>Calculates indirect costs on the first $25,000 for each subaward.</t>
  </si>
  <si>
    <t>Sub 1</t>
  </si>
  <si>
    <t>Sub 2</t>
  </si>
  <si>
    <t>Sub 3</t>
  </si>
  <si>
    <t>Sub 4</t>
  </si>
  <si>
    <t>Sub 5</t>
  </si>
  <si>
    <t>Cummulative Total Costs</t>
  </si>
  <si>
    <t>MTDC Base Each Year</t>
  </si>
  <si>
    <t>for each Subcontract</t>
  </si>
  <si>
    <t>TO PRINT SPREADSHEET, SELECT OPTION:</t>
  </si>
  <si>
    <t>Current Year's Indirect Cost Rate:</t>
  </si>
  <si>
    <t>●</t>
  </si>
  <si>
    <t>FROM</t>
  </si>
  <si>
    <t>THROUGH</t>
  </si>
  <si>
    <t xml:space="preserve">                   DETAILED BUDGET FOR INITIAL BUDGET PERIOD</t>
  </si>
  <si>
    <t xml:space="preserve">                                       DIRECT COSTS ONLY</t>
  </si>
  <si>
    <t>FRINGE</t>
  </si>
  <si>
    <t>PERSONNEL</t>
  </si>
  <si>
    <t xml:space="preserve"> (Applicant Organization Only)</t>
  </si>
  <si>
    <t>INST. BASE SALARY</t>
  </si>
  <si>
    <t>DOLLAR AMOUNT REQUESTED (omit cents)</t>
  </si>
  <si>
    <t>BENEFIT</t>
  </si>
  <si>
    <t>ROLE</t>
  </si>
  <si>
    <t>SALARY</t>
  </si>
  <si>
    <t>RATE</t>
  </si>
  <si>
    <t>NAME</t>
  </si>
  <si>
    <t>ON PROJECT</t>
  </si>
  <si>
    <t>REQUESTED</t>
  </si>
  <si>
    <t>BENEFITS</t>
  </si>
  <si>
    <t>TOTAL</t>
  </si>
  <si>
    <t xml:space="preserve">  </t>
  </si>
  <si>
    <t xml:space="preserve">         SUBTOTALS</t>
  </si>
  <si>
    <t>CONSULTANT COSTS</t>
  </si>
  <si>
    <t>TRAVEL</t>
  </si>
  <si>
    <t>DIRECT COSTS</t>
  </si>
  <si>
    <t>FACILITIES AND ADMINISTRATION COSTS</t>
  </si>
  <si>
    <t>Page _____</t>
  </si>
  <si>
    <t>Form Page 4</t>
  </si>
  <si>
    <t>Current Year's Salary Increase:</t>
  </si>
  <si>
    <t>ROLE ON</t>
  </si>
  <si>
    <t>PROJECT</t>
  </si>
  <si>
    <t>% Increase</t>
  </si>
  <si>
    <t xml:space="preserve">CONSULTANT COSTS </t>
  </si>
  <si>
    <t>Carry Data from Year 2? (Y/N):</t>
  </si>
  <si>
    <t>n</t>
  </si>
  <si>
    <t>INST.</t>
  </si>
  <si>
    <t>BASE</t>
  </si>
  <si>
    <t>Carry Data from Year 3 (Y/N)?:</t>
  </si>
  <si>
    <t>Carry Data from Year 4 (Y/N)?:</t>
  </si>
  <si>
    <t>INITIAL BUDGET</t>
  </si>
  <si>
    <t>PERIOD</t>
  </si>
  <si>
    <t>(from Form Page 4)</t>
  </si>
  <si>
    <t>EQUIPMENT</t>
  </si>
  <si>
    <t>SUPPLIES</t>
  </si>
  <si>
    <t>ALTERATIONS AND</t>
  </si>
  <si>
    <t>RENOVATIONS</t>
  </si>
  <si>
    <t>OTHER EXPENSES</t>
  </si>
  <si>
    <t>TOTAL DIRECT COSTS</t>
  </si>
  <si>
    <t>Form Page 5</t>
  </si>
  <si>
    <t>SCHEDULE OF ADDITIONAL PERSONNEL</t>
  </si>
  <si>
    <t>(NOT FITTING ON THE NIH FORM)</t>
  </si>
  <si>
    <t>FOR PROJECT STARTING ON:</t>
  </si>
  <si>
    <t>PRINCIPAL INVESTIGATOR/PROGRAM DIRECTOR:</t>
  </si>
  <si>
    <t>INDIRECT COST</t>
  </si>
  <si>
    <t>FIRST YEAR</t>
  </si>
  <si>
    <t>x</t>
  </si>
  <si>
    <t>=</t>
  </si>
  <si>
    <t>SECOND YEAR</t>
  </si>
  <si>
    <t>THIRD YEAR</t>
  </si>
  <si>
    <t>FOURTH YEAR</t>
  </si>
  <si>
    <t>FIFTH YEAR</t>
  </si>
  <si>
    <t>Modules</t>
  </si>
  <si>
    <t>Principal Investigator:</t>
  </si>
  <si>
    <t>Year One</t>
  </si>
  <si>
    <t>Year Two</t>
  </si>
  <si>
    <t>Year Three</t>
  </si>
  <si>
    <t>Year Four</t>
  </si>
  <si>
    <t>Year Five</t>
  </si>
  <si>
    <t>Total Direct Costs from 398 Form</t>
  </si>
  <si>
    <t>Number of Years</t>
  </si>
  <si>
    <t>Option 1 -- Total Direct Costs Rounded</t>
  </si>
  <si>
    <t>to the Nearest Multiple of $25,000 x number of years.</t>
  </si>
  <si>
    <t>Rounded Total</t>
  </si>
  <si>
    <t>Modules Per Year</t>
  </si>
  <si>
    <t>Modular TDC per Year</t>
  </si>
  <si>
    <t>Difference btwn. Modules &amp; 398</t>
  </si>
  <si>
    <t>% Difference</t>
  </si>
  <si>
    <t>Option 2 -- Total Direct Costs Rounded</t>
  </si>
  <si>
    <t>YOUR REQUEST: PLEASE ENTER IN THIS SECTION THE MODULES THAT YOU WILL REQUEST FOR EACH YEAR.</t>
  </si>
  <si>
    <t>Please Note:  In order for the IDC page and Justification page to calculate correctly, the modules you will request</t>
  </si>
  <si>
    <t xml:space="preserve">                           must be entered in this section.</t>
  </si>
  <si>
    <t xml:space="preserve">                     If you request a different number of modules in any year it must be for specific costs to that year and</t>
  </si>
  <si>
    <t xml:space="preserve">                           must be fully justified in the "Budget Justification Form".</t>
  </si>
  <si>
    <t>Data for Justification Page</t>
  </si>
  <si>
    <t>Total Direct Costs for Entire Proposed Period of Support:</t>
  </si>
  <si>
    <t>Initial Budget</t>
  </si>
  <si>
    <t>Second Year of</t>
  </si>
  <si>
    <t>Third Year of</t>
  </si>
  <si>
    <t>Fourth Year of</t>
  </si>
  <si>
    <t xml:space="preserve">Fifth Year of </t>
  </si>
  <si>
    <t>Period</t>
  </si>
  <si>
    <t>Support</t>
  </si>
  <si>
    <t>The Following Personnel are taken from the "Year 1" budget page.</t>
  </si>
  <si>
    <t>Equipment</t>
  </si>
  <si>
    <t>NOTE: Include equipment on the justification ONLY if it results in</t>
  </si>
  <si>
    <t>an increased number of modules in any year.</t>
  </si>
  <si>
    <t>Consortium</t>
  </si>
  <si>
    <t>Approximately</t>
  </si>
  <si>
    <t>Total Costs for all years.</t>
  </si>
  <si>
    <r>
      <t>EQUIPMENT</t>
    </r>
    <r>
      <rPr>
        <i/>
        <sz val="8"/>
        <rFont val="Helv"/>
        <family val="0"/>
      </rPr>
      <t xml:space="preserve"> (Itemize)</t>
    </r>
  </si>
  <si>
    <r>
      <t>SUPPLIES</t>
    </r>
    <r>
      <rPr>
        <i/>
        <sz val="8"/>
        <rFont val="Helv"/>
        <family val="0"/>
      </rPr>
      <t xml:space="preserve"> (Itemize by category)</t>
    </r>
  </si>
  <si>
    <r>
      <t xml:space="preserve">ALTERATIONS AND RENOVATIONS </t>
    </r>
    <r>
      <rPr>
        <i/>
        <sz val="8"/>
        <rFont val="Helv"/>
        <family val="0"/>
      </rPr>
      <t>(Itemize by category)</t>
    </r>
  </si>
  <si>
    <r>
      <t>OTHER EXPENSES</t>
    </r>
    <r>
      <rPr>
        <i/>
        <sz val="8"/>
        <rFont val="Helv"/>
        <family val="0"/>
      </rPr>
      <t xml:space="preserve"> (Itemize by category)</t>
    </r>
  </si>
  <si>
    <r>
      <t xml:space="preserve">EQUIPMENT </t>
    </r>
    <r>
      <rPr>
        <i/>
        <sz val="8"/>
        <rFont val="Helv"/>
        <family val="0"/>
      </rPr>
      <t>(Itemize)</t>
    </r>
  </si>
  <si>
    <r>
      <t xml:space="preserve">SUPPLIES </t>
    </r>
    <r>
      <rPr>
        <i/>
        <sz val="8"/>
        <rFont val="Helv"/>
        <family val="0"/>
      </rPr>
      <t>(Itemize by category)</t>
    </r>
  </si>
  <si>
    <r>
      <t xml:space="preserve">OTHER EXPENSES </t>
    </r>
    <r>
      <rPr>
        <i/>
        <sz val="8"/>
        <rFont val="Helv"/>
        <family val="0"/>
      </rPr>
      <t>(Itemize by category)</t>
    </r>
  </si>
  <si>
    <r>
      <t>ALTERATIONS AND RENOVATIONS</t>
    </r>
    <r>
      <rPr>
        <i/>
        <sz val="8"/>
        <rFont val="Helv"/>
        <family val="0"/>
      </rPr>
      <t xml:space="preserve"> (Itemize by category)</t>
    </r>
  </si>
  <si>
    <r>
      <t xml:space="preserve">INDIRECT COST SCHEDULE - </t>
    </r>
    <r>
      <rPr>
        <b/>
        <sz val="10"/>
        <rFont val="Courier New"/>
        <family val="3"/>
      </rPr>
      <t>MODULAR GRANT</t>
    </r>
  </si>
  <si>
    <r>
      <t xml:space="preserve">INDIRECT COST SCHEDULE - </t>
    </r>
    <r>
      <rPr>
        <b/>
        <sz val="10"/>
        <rFont val="Courier New"/>
        <family val="3"/>
      </rPr>
      <t>NONMODULAR GRANT</t>
    </r>
  </si>
  <si>
    <t>OMB No. 0925-0001</t>
  </si>
  <si>
    <t>Department of Health and Human Services</t>
  </si>
  <si>
    <t>Public Health Service</t>
  </si>
  <si>
    <t xml:space="preserve">    Number:</t>
  </si>
  <si>
    <t>Title:</t>
  </si>
  <si>
    <t xml:space="preserve">  3b. DEGREE(S)</t>
  </si>
  <si>
    <t>(716)</t>
  </si>
  <si>
    <t xml:space="preserve">  E-MAIL ADDRESS:</t>
  </si>
  <si>
    <t>FAX:</t>
  </si>
  <si>
    <t>6. DATES OF PROPOSED PERIOD OF</t>
  </si>
  <si>
    <t>7. COSTS REQUESTED FOR INITIAL</t>
  </si>
  <si>
    <t xml:space="preserve"> 8.  COSTS REQUESTED FOR PROPOSED</t>
  </si>
  <si>
    <t xml:space="preserve">    BUDGET PERIOD</t>
  </si>
  <si>
    <t xml:space="preserve">      PERIOD OF SUPPORT</t>
  </si>
  <si>
    <t>From</t>
  </si>
  <si>
    <t>Through</t>
  </si>
  <si>
    <t>7a. Direct Costs ($)</t>
  </si>
  <si>
    <t xml:space="preserve"> 7b.Total Costs ($)</t>
  </si>
  <si>
    <t xml:space="preserve"> 8a. Direct Costs ($)</t>
  </si>
  <si>
    <t xml:space="preserve"> 8b. Total Costs ($)</t>
  </si>
  <si>
    <t>9. APPLICANT ORGANIZATION</t>
  </si>
  <si>
    <t xml:space="preserve"> 10. TYPE OF ORGANIZATION</t>
  </si>
  <si>
    <t>Name</t>
  </si>
  <si>
    <t>Public:</t>
  </si>
  <si>
    <t>Federal</t>
  </si>
  <si>
    <t>State</t>
  </si>
  <si>
    <t>Local</t>
  </si>
  <si>
    <t>Address</t>
  </si>
  <si>
    <t>on behalf of University at Buffalo</t>
  </si>
  <si>
    <t>Private:</t>
  </si>
  <si>
    <t>X</t>
  </si>
  <si>
    <t>Private Nonprofit</t>
  </si>
  <si>
    <t>Forprofit:</t>
  </si>
  <si>
    <t>General</t>
  </si>
  <si>
    <t>Small Business</t>
  </si>
  <si>
    <t>1146013200F6</t>
  </si>
  <si>
    <t>Title</t>
  </si>
  <si>
    <t>Telephone</t>
  </si>
  <si>
    <t>Phone</t>
  </si>
  <si>
    <t>FAX</t>
  </si>
  <si>
    <t xml:space="preserve">E-Mail </t>
  </si>
  <si>
    <t>awards@research.buffalo.edu</t>
  </si>
  <si>
    <t xml:space="preserve">  DATE</t>
  </si>
  <si>
    <t xml:space="preserve">  Face Page  </t>
  </si>
  <si>
    <r>
      <t xml:space="preserve">    SUPPORT </t>
    </r>
    <r>
      <rPr>
        <i/>
        <sz val="8"/>
        <rFont val="Arial"/>
        <family val="2"/>
      </rPr>
      <t>(month, day, year-MM/DD/YY)</t>
    </r>
  </si>
  <si>
    <t>CHECKLIST</t>
  </si>
  <si>
    <t>(This application is to extend a funded grant beyond its current project period.)</t>
  </si>
  <si>
    <t>(This application is for additional funds to supplement a currently funded grant.)</t>
  </si>
  <si>
    <t>All applications must indicate whether program income is anticipated during the period(s) for which grant support is requested.  If program income is</t>
  </si>
  <si>
    <t>anticipated, use the format below to reflect the amount and source(s).</t>
  </si>
  <si>
    <t>Budget Period</t>
  </si>
  <si>
    <t>Anticipated Amount</t>
  </si>
  <si>
    <t>Source(s)</t>
  </si>
  <si>
    <t xml:space="preserve"> DHHS Agreement dated:</t>
  </si>
  <si>
    <t xml:space="preserve"> DHHS Agreement being negotiated with</t>
  </si>
  <si>
    <t xml:space="preserve"> No DHHS Agreement, but rate established with</t>
  </si>
  <si>
    <t xml:space="preserve">                       </t>
  </si>
  <si>
    <t>Date</t>
  </si>
  <si>
    <t>a.  Initial budget period:</t>
  </si>
  <si>
    <t>Amount of base:  $</t>
  </si>
  <si>
    <t xml:space="preserve"> x    Rate  applied</t>
  </si>
  <si>
    <t>*Check appropriate box(es):</t>
  </si>
  <si>
    <t xml:space="preserve"> Salary and wages base</t>
  </si>
  <si>
    <t>Modified total direct cost base</t>
  </si>
  <si>
    <r>
      <t>TYPE OF APPLICATION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(Check all that apply.)</t>
    </r>
  </si>
  <si>
    <r>
      <t xml:space="preserve">CALCULATION* </t>
    </r>
    <r>
      <rPr>
        <i/>
        <sz val="8"/>
        <rFont val="Arial"/>
        <family val="2"/>
      </rPr>
      <t xml:space="preserve"> (The entire grant application, including the Checklist, will be reproduced and provided to peer reviewers as confidential information.</t>
    </r>
  </si>
  <si>
    <t>2. RESPONSE TO SPECIFIC REQUEST FOR APPLICATIONS OR PROGRAM ANNOUNCEMENT OR SOLICITATION</t>
  </si>
  <si>
    <t xml:space="preserve">  LEAVE BLANK--FOR PHS USE ONLY.</t>
  </si>
  <si>
    <t xml:space="preserve">TEL:  </t>
  </si>
  <si>
    <t>Form Page 1</t>
  </si>
  <si>
    <t xml:space="preserve"> 11. ENTITY IDENTIFICATION NUMBER</t>
  </si>
  <si>
    <t xml:space="preserve">  Socially and Economically Disadvantaged</t>
  </si>
  <si>
    <t>(In ink. "Per" signature not acceptable.)</t>
  </si>
  <si>
    <r>
      <t xml:space="preserve">    </t>
    </r>
    <r>
      <rPr>
        <i/>
        <sz val="8"/>
        <rFont val="Arial"/>
        <family val="2"/>
      </rPr>
      <t>(If "Yes," state number and title)</t>
    </r>
  </si>
  <si>
    <t>12. ADMINISTRATIVE OFFICIAL TO BE NOTIFIED IF AWARD IS MADE</t>
  </si>
  <si>
    <t xml:space="preserve"> 13.  OFFICIAL SIGNING FOR APPLICANT ORGANIZATION</t>
  </si>
  <si>
    <t xml:space="preserve"> SIGNATURE OF OFFICIAL NAMED IN 13. </t>
  </si>
  <si>
    <r>
      <t xml:space="preserve">2.  ASSURANCES/CERTIFICATIONS </t>
    </r>
    <r>
      <rPr>
        <b/>
        <i/>
        <sz val="8"/>
        <rFont val="Arial"/>
        <family val="2"/>
      </rPr>
      <t>(See instructions.)</t>
    </r>
  </si>
  <si>
    <r>
      <t xml:space="preserve">3. FACILITIES AND ADMINISTRATIVE COSTS (F&amp;A)/ INDIRECT COSTS. </t>
    </r>
    <r>
      <rPr>
        <sz val="8"/>
        <rFont val="Arial"/>
        <family val="2"/>
      </rPr>
      <t>See specific instructions.</t>
    </r>
  </si>
  <si>
    <t>No Facilities And Administration Cost Requested.</t>
  </si>
  <si>
    <t>b.  02 year</t>
  </si>
  <si>
    <t>c.  03 year</t>
  </si>
  <si>
    <t>d.  04 year</t>
  </si>
  <si>
    <t>e.  05 year</t>
  </si>
  <si>
    <t>% = F &amp; A costs  $</t>
  </si>
  <si>
    <t xml:space="preserve">TOTAL F&amp;A Costs $    </t>
  </si>
  <si>
    <t>Checklist Form Page</t>
  </si>
  <si>
    <t>Dental Medicine - Grad Students</t>
  </si>
  <si>
    <t>Medicine - Grad Students</t>
  </si>
  <si>
    <t>Medicine - MD Students</t>
  </si>
  <si>
    <t>Pharmacy - Pharm.D. Students</t>
  </si>
  <si>
    <t xml:space="preserve"> </t>
  </si>
  <si>
    <t>3c. POSITION TITLE</t>
  </si>
  <si>
    <r>
      <t xml:space="preserve">  3d. MAILING ADDRESS</t>
    </r>
    <r>
      <rPr>
        <i/>
        <sz val="8"/>
        <rFont val="Arial"/>
        <family val="2"/>
      </rPr>
      <t xml:space="preserve"> (Street, city, state, zip code)</t>
    </r>
  </si>
  <si>
    <t>3e. DEPARTMENT, SERVICE, LABORATORY, OR EQUIVALENT</t>
  </si>
  <si>
    <t>3f. MAJOR SUBDIVISION</t>
  </si>
  <si>
    <r>
      <t>3g. TELEPHONE AND FAX</t>
    </r>
    <r>
      <rPr>
        <i/>
        <sz val="8"/>
        <rFont val="Arial"/>
        <family val="2"/>
      </rPr>
      <t xml:space="preserve"> (Area code, number and extension)</t>
    </r>
  </si>
  <si>
    <t>Public Health &amp; Health Professions</t>
  </si>
  <si>
    <t>fringe benefit Rate</t>
  </si>
  <si>
    <t>IFR</t>
  </si>
  <si>
    <t>RF</t>
  </si>
  <si>
    <t>IFR Summer</t>
  </si>
  <si>
    <t>Graduate</t>
  </si>
  <si>
    <t>Undergrad</t>
  </si>
  <si>
    <t>F&amp;A</t>
  </si>
  <si>
    <t>FY05</t>
  </si>
  <si>
    <t>FY06</t>
  </si>
  <si>
    <t>FY07</t>
  </si>
  <si>
    <t>FY09</t>
  </si>
  <si>
    <t>FY10</t>
  </si>
  <si>
    <t>FY11</t>
  </si>
  <si>
    <t>FY12</t>
  </si>
  <si>
    <t>FY13</t>
  </si>
  <si>
    <t>FY14</t>
  </si>
  <si>
    <t>FY15</t>
  </si>
  <si>
    <t>FY16</t>
  </si>
  <si>
    <t>7/1/04</t>
  </si>
  <si>
    <t>7/1/05</t>
  </si>
  <si>
    <t>Type</t>
  </si>
  <si>
    <t>Activity</t>
  </si>
  <si>
    <t>Number</t>
  </si>
  <si>
    <t>Review Group</t>
  </si>
  <si>
    <t>Formerly</t>
  </si>
  <si>
    <t>Do not exceed character length restrictions indicated.</t>
  </si>
  <si>
    <t>Council/Board (Month, Year)</t>
  </si>
  <si>
    <t>Date Received</t>
  </si>
  <si>
    <r>
      <t xml:space="preserve">1. TITLE OF PROJECT </t>
    </r>
    <r>
      <rPr>
        <i/>
        <sz val="8"/>
        <rFont val="Arial"/>
        <family val="2"/>
      </rPr>
      <t>(Do not exceed 81 characters, including spaces and punctuation.)</t>
    </r>
  </si>
  <si>
    <t xml:space="preserve"> 3h.  eRA Commons User Name</t>
  </si>
  <si>
    <t>4c. Clinical Trial</t>
  </si>
  <si>
    <t xml:space="preserve">  DUNS NO.</t>
  </si>
  <si>
    <t xml:space="preserve">  Cong. District</t>
  </si>
  <si>
    <t xml:space="preserve"> 03-86-33251</t>
  </si>
  <si>
    <t xml:space="preserve">          Women-owned</t>
  </si>
  <si>
    <t>CONSORTIUM/CONTRACTUAL COSTS</t>
  </si>
  <si>
    <t xml:space="preserve">TOTAL DIRECT COSTS FOR INITIAL BUDGET PERIOD  </t>
  </si>
  <si>
    <r>
      <t xml:space="preserve">SUBTOTAL DIRECT COSTS FOR INITIAL BUDGET PERIOD   </t>
    </r>
    <r>
      <rPr>
        <i/>
        <sz val="10"/>
        <rFont val="Helv"/>
        <family val="0"/>
      </rPr>
      <t>(Item 7a, Face Page)</t>
    </r>
  </si>
  <si>
    <r>
      <t xml:space="preserve">SUBTOTAL DIRECT COSTS FOR INITIAL BUDGET PERIOD  </t>
    </r>
    <r>
      <rPr>
        <i/>
        <sz val="10"/>
        <rFont val="Helv"/>
        <family val="0"/>
      </rPr>
      <t xml:space="preserve"> (Item 7a, Face Page)</t>
    </r>
  </si>
  <si>
    <t xml:space="preserve">TOTAL DIRECT COSTS FOR INITIAL BUDGET PERIOD </t>
  </si>
  <si>
    <r>
      <t xml:space="preserve">SUBTOTAL DIRECT COSTS FOR INITIAL BUDGET PERIOD   </t>
    </r>
    <r>
      <rPr>
        <i/>
        <sz val="10"/>
        <rFont val="Helv"/>
        <family val="0"/>
      </rPr>
      <t xml:space="preserve"> (Item 7a, Face Page)</t>
    </r>
  </si>
  <si>
    <r>
      <t xml:space="preserve">SUBTOTAL DIRECT COSTS                </t>
    </r>
    <r>
      <rPr>
        <i/>
        <sz val="9"/>
        <rFont val="Helv"/>
        <family val="0"/>
      </rPr>
      <t>(Sum = Item 8a, Face page)</t>
    </r>
  </si>
  <si>
    <t>TOTAL DIRECT COSTS FOR ENTIRE PROPOSED PROJECT PERIOD</t>
  </si>
  <si>
    <t>JUSTIFICATION.  Follow the budget justification instructions exactly. Use continuation pages as needed.</t>
  </si>
  <si>
    <t>FOREIGN application</t>
  </si>
  <si>
    <t>List Country(ies) Involved:</t>
  </si>
  <si>
    <t>Regional Office</t>
  </si>
  <si>
    <r>
      <t>1.  PROGRAM INCOME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(See instructions.)</t>
    </r>
  </si>
  <si>
    <t>CHANGE of Grantee Institution.</t>
  </si>
  <si>
    <t>Name of former Institution:</t>
  </si>
  <si>
    <t xml:space="preserve">    Name of former principal investigator/program director:</t>
  </si>
  <si>
    <t>DETAILED BUDGET FOR INITIAL BUDGET PERIOD</t>
  </si>
  <si>
    <t>DIRECT COSTS ONLY</t>
  </si>
  <si>
    <t>Consortium F&amp;A</t>
  </si>
  <si>
    <t>Total DC</t>
  </si>
  <si>
    <t>DC less consortium F&amp;A</t>
  </si>
  <si>
    <t>(item 7a, Face Page)</t>
  </si>
  <si>
    <t>(Item 8a, Face Page)</t>
  </si>
  <si>
    <t>MODULAR RESEARCH GRANT APPLICATION</t>
  </si>
  <si>
    <t>DC less Consortium F&amp;A</t>
  </si>
  <si>
    <t>Total Direct Costs</t>
  </si>
  <si>
    <t>Initial Period</t>
  </si>
  <si>
    <t>(Item 7a, Face Page)</t>
  </si>
  <si>
    <r>
      <t>2</t>
    </r>
    <r>
      <rPr>
        <b/>
        <vertAlign val="superscript"/>
        <sz val="10"/>
        <rFont val="Arial"/>
        <family val="2"/>
      </rPr>
      <t>nd</t>
    </r>
  </si>
  <si>
    <r>
      <t>3</t>
    </r>
    <r>
      <rPr>
        <b/>
        <vertAlign val="superscript"/>
        <sz val="10"/>
        <rFont val="Arial"/>
        <family val="2"/>
      </rPr>
      <t>rd</t>
    </r>
  </si>
  <si>
    <r>
      <t>4</t>
    </r>
    <r>
      <rPr>
        <b/>
        <vertAlign val="superscript"/>
        <sz val="10"/>
        <rFont val="Arial"/>
        <family val="2"/>
      </rPr>
      <t>th</t>
    </r>
  </si>
  <si>
    <r>
      <t>5</t>
    </r>
    <r>
      <rPr>
        <b/>
        <vertAlign val="superscript"/>
        <sz val="10"/>
        <rFont val="Arial"/>
        <family val="2"/>
      </rPr>
      <t>th</t>
    </r>
  </si>
  <si>
    <t>Modular Budget Format Page</t>
  </si>
  <si>
    <t>BUDGET JUSTIFICATION PAGE</t>
  </si>
  <si>
    <t>(For Entire Project Period)</t>
  </si>
  <si>
    <t xml:space="preserve">Sum Total     </t>
  </si>
  <si>
    <t>7/1/06</t>
  </si>
  <si>
    <r>
      <t xml:space="preserve">NEW application.  </t>
    </r>
    <r>
      <rPr>
        <i/>
        <sz val="10"/>
        <rFont val="Arial"/>
        <family val="2"/>
      </rPr>
      <t>(This application is being submitted to the PHS for the first time.)</t>
    </r>
  </si>
  <si>
    <r>
      <t xml:space="preserve"> Off-site, other special rate, or more than one rate involved</t>
    </r>
    <r>
      <rPr>
        <i/>
        <sz val="10"/>
        <rFont val="Arial"/>
        <family val="2"/>
      </rPr>
      <t xml:space="preserve"> (Explain)</t>
    </r>
  </si>
  <si>
    <r>
      <t xml:space="preserve">Explanation </t>
    </r>
    <r>
      <rPr>
        <i/>
        <sz val="10"/>
        <rFont val="Arial"/>
        <family val="2"/>
      </rPr>
      <t>(Attach separate sheet, if necessary.)</t>
    </r>
    <r>
      <rPr>
        <sz val="10"/>
        <rFont val="Arial"/>
        <family val="2"/>
      </rPr>
      <t>:</t>
    </r>
  </si>
  <si>
    <r>
      <t>Other base</t>
    </r>
    <r>
      <rPr>
        <i/>
        <sz val="10"/>
        <rFont val="Arial"/>
        <family val="2"/>
      </rPr>
      <t xml:space="preserve"> (Explain)</t>
    </r>
  </si>
  <si>
    <t xml:space="preserve">       Domestic Grant with foreign involvement</t>
  </si>
  <si>
    <t xml:space="preserve">DHHS Agreement Dated </t>
  </si>
  <si>
    <t>DHHS Agreement Dated</t>
  </si>
  <si>
    <t>BUDGET CATEGORY                 TOTALS</t>
  </si>
  <si>
    <r>
      <t xml:space="preserve">PERSONNEL:  </t>
    </r>
    <r>
      <rPr>
        <i/>
        <sz val="9"/>
        <rFont val="Helv"/>
        <family val="0"/>
      </rPr>
      <t>Salary and fringe benefits. Applicant organization         only.</t>
    </r>
  </si>
  <si>
    <t>to determine # modules</t>
  </si>
  <si>
    <t>to determine IDC base</t>
  </si>
  <si>
    <t>DC Base Each Year</t>
  </si>
  <si>
    <t>Cal. Mnths</t>
  </si>
  <si>
    <t>Acad. Mnths</t>
  </si>
  <si>
    <t>Sum. Mnths</t>
  </si>
  <si>
    <t>Months Devoted to Project</t>
  </si>
  <si>
    <t>14.  APPLICANT  ORGANIZATION  CERTIFICATION  AND ACCEPTANCE:</t>
  </si>
  <si>
    <t>Page ___</t>
  </si>
  <si>
    <t>Management (non-MBA)</t>
  </si>
  <si>
    <t>Management -MBA</t>
  </si>
  <si>
    <t>Dental Medicine - DDS</t>
  </si>
  <si>
    <t>Physical Therapy (DPT)</t>
  </si>
  <si>
    <t>(716) 645-2760</t>
  </si>
  <si>
    <t xml:space="preserve">   (716) 645-2760</t>
  </si>
  <si>
    <t>Sponsored Projects Services</t>
  </si>
  <si>
    <t>@buffalo.edu</t>
  </si>
  <si>
    <t>3. PROGRAM DIRECTOR/PRINCIPAL INVESTIGATOR</t>
  </si>
  <si>
    <r>
      <t>3a. NAME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(Last, first, middle)</t>
    </r>
  </si>
  <si>
    <t>5. VERTEBRATE ANIMALS</t>
  </si>
  <si>
    <t>5a. Animal Welfare Assurance No.</t>
  </si>
  <si>
    <t>4. HUMAN SUBJECTS RESEARCH</t>
  </si>
  <si>
    <t>4b. Federal-Wide Assurance No.</t>
  </si>
  <si>
    <t>4a. Research Exempt</t>
  </si>
  <si>
    <t>If "Yes'" Exemption No.</t>
  </si>
  <si>
    <t>4d. NIH-defined Phase III Clinical Trial</t>
  </si>
  <si>
    <t>Program Director/Principal Investigator (Last, first, middle):</t>
  </si>
  <si>
    <t>RESUBMISSION of application number:</t>
  </si>
  <si>
    <t>(This application replaces a prior unfunded version of a new, renewal, or revision application.)</t>
  </si>
  <si>
    <t>RENEWAL of grant number:</t>
  </si>
  <si>
    <t>REVISION to grant number:</t>
  </si>
  <si>
    <t>CHANGE of program director/principal investigator.</t>
  </si>
  <si>
    <r>
      <t xml:space="preserve">INVENTIONS AND PATENTS  </t>
    </r>
    <r>
      <rPr>
        <i/>
        <sz val="9"/>
        <rFont val="Arial"/>
        <family val="2"/>
      </rPr>
      <t>(Renewal appl. only)</t>
    </r>
  </si>
  <si>
    <t>If "Yes,"</t>
  </si>
  <si>
    <t xml:space="preserve">your proposed project, and the name, address, telephone number, and email address of the official signing for the applicant organization, to </t>
  </si>
  <si>
    <t xml:space="preserve">organizations that may be interested in contacting you for further information (e.g., possible collaborations, investment)?   </t>
  </si>
  <si>
    <r>
      <rPr>
        <b/>
        <sz val="9"/>
        <color indexed="8"/>
        <rFont val="arial"/>
        <family val="2"/>
      </rPr>
      <t>4. DISCLOSURE PERMISSION STATEMENT</t>
    </r>
    <r>
      <rPr>
        <b/>
        <sz val="8"/>
        <color indexed="8"/>
        <rFont val="Arial"/>
        <family val="2"/>
      </rPr>
      <t xml:space="preserve">: </t>
    </r>
    <r>
      <rPr>
        <sz val="8"/>
        <color indexed="8"/>
        <rFont val="Arial"/>
        <family val="2"/>
      </rPr>
      <t xml:space="preserve">If this application does not result in an award, is the Government permitted to disclose the title of </t>
    </r>
  </si>
  <si>
    <t xml:space="preserve">In signing the application Face Page,  the authorized organizational representative agrees to comply with the policies, assurances and/or certifications </t>
  </si>
  <si>
    <t xml:space="preserve">listed in the application instructions when applicable.  Descriptions of individual assurances/certifications are provided in Part III and listed in Part I, 4.1 </t>
  </si>
  <si>
    <t xml:space="preserve">under Item 14.  If unable to certify compliance, where applicable, provide an explanation and place it after this page. </t>
  </si>
  <si>
    <t xml:space="preserve">                  Program Director/Principal Investigator (Last, First, Middle): </t>
  </si>
  <si>
    <t>FY17</t>
  </si>
  <si>
    <t>FY18</t>
  </si>
  <si>
    <t>FY19</t>
  </si>
  <si>
    <t>FY20</t>
  </si>
  <si>
    <t>FY21</t>
  </si>
  <si>
    <t>number 1</t>
  </si>
  <si>
    <t>year 1</t>
  </si>
  <si>
    <t>year 2</t>
  </si>
  <si>
    <t>year 3</t>
  </si>
  <si>
    <t>year 4</t>
  </si>
  <si>
    <t>year 5</t>
  </si>
  <si>
    <t>number 2</t>
  </si>
  <si>
    <t>number 3</t>
  </si>
  <si>
    <t>number 4</t>
  </si>
  <si>
    <t>Form Approved Through 6/30/2012</t>
  </si>
  <si>
    <t>(716) 645-</t>
  </si>
  <si>
    <t>(716) 645-2634</t>
  </si>
  <si>
    <t>Use Cal, Acad, or Summer to Enter Months Devoted to Project</t>
  </si>
  <si>
    <r>
      <t xml:space="preserve">List PERSONNEL   </t>
    </r>
    <r>
      <rPr>
        <i/>
        <sz val="9"/>
        <rFont val="Helv"/>
        <family val="0"/>
      </rPr>
      <t>(Applicant Organization Only)</t>
    </r>
  </si>
  <si>
    <r>
      <t>Enter Dollar Amounts Requested (</t>
    </r>
    <r>
      <rPr>
        <i/>
        <sz val="9"/>
        <rFont val="Helv"/>
        <family val="0"/>
      </rPr>
      <t>omit cents</t>
    </r>
    <r>
      <rPr>
        <sz val="9"/>
        <rFont val="Helv"/>
        <family val="0"/>
      </rPr>
      <t>) for Salary Requested and Fringe Benefits</t>
    </r>
  </si>
  <si>
    <t>PD/PI</t>
  </si>
  <si>
    <t>PHS 398 (Rev. 6/09)</t>
  </si>
  <si>
    <t>Summer Mnths</t>
  </si>
  <si>
    <t xml:space="preserve">  PD/PI</t>
  </si>
  <si>
    <r>
      <t xml:space="preserve"> List PERSONNEL   </t>
    </r>
    <r>
      <rPr>
        <i/>
        <sz val="8"/>
        <rFont val="Helv"/>
        <family val="0"/>
      </rPr>
      <t>(Applicant Organization Only)</t>
    </r>
  </si>
  <si>
    <t xml:space="preserve">   PD/PI</t>
  </si>
  <si>
    <t>INPATIENT CARE COSTS</t>
  </si>
  <si>
    <t>OUTPATIENT CARE COSTS</t>
  </si>
  <si>
    <r>
      <t xml:space="preserve">List PERSONNEL  </t>
    </r>
    <r>
      <rPr>
        <i/>
        <sz val="9"/>
        <rFont val="Helv"/>
        <family val="0"/>
      </rPr>
      <t>(Applicant Organization Only)</t>
    </r>
  </si>
  <si>
    <r>
      <t xml:space="preserve">List  PERSONNEL  </t>
    </r>
    <r>
      <rPr>
        <i/>
        <sz val="9"/>
        <rFont val="Helv"/>
        <family val="0"/>
      </rPr>
      <t>(Applicant Organization Only)</t>
    </r>
  </si>
  <si>
    <t xml:space="preserve">    DIRECT CONSORTIUM/     CONTRACTUAL COSTS</t>
  </si>
  <si>
    <t xml:space="preserve">    F&amp;A CONSORTIUM/        CONTRACTUAL COSTS</t>
  </si>
  <si>
    <t>2nd ADDITIONAL YEAR OF SUPPORT REQUESTED</t>
  </si>
  <si>
    <t>3rd ADDITIONAL YEAR OF SUPPORT REQUESTED</t>
  </si>
  <si>
    <t>4th ADDITIONAL YEAR OF SUPPORT REQUESTED</t>
  </si>
  <si>
    <t>5th ADDITIONAL YEAR OF SUPPORT REQUESTED</t>
  </si>
  <si>
    <t xml:space="preserve">   BUDGET FOR ENTIRE PROPOSED PERIOD</t>
  </si>
  <si>
    <t xml:space="preserve">                       DIRECT COSTS ONLY</t>
  </si>
  <si>
    <t>Ms. Marlene Casey</t>
  </si>
  <si>
    <t>Team Leader</t>
  </si>
  <si>
    <t>IN-State</t>
  </si>
  <si>
    <t>Graduate Programs</t>
  </si>
  <si>
    <t>FY 16-17</t>
  </si>
  <si>
    <t>FY 17-18</t>
  </si>
  <si>
    <t>Dental Medicine</t>
  </si>
  <si>
    <t>Education</t>
  </si>
  <si>
    <t>Management</t>
  </si>
  <si>
    <t>Medicine</t>
  </si>
  <si>
    <t>Professional Programs</t>
  </si>
  <si>
    <t>Law (JD)</t>
  </si>
  <si>
    <t>Physicians Assistant</t>
  </si>
  <si>
    <t>Medicine (MD)</t>
  </si>
  <si>
    <t>Pharmacy (PharmD)</t>
  </si>
  <si>
    <t>Dental Medicine (DDS)</t>
  </si>
  <si>
    <t>Optometry</t>
  </si>
  <si>
    <t>Management (MBA)</t>
  </si>
  <si>
    <t>Doctor of Nursing Practice</t>
  </si>
  <si>
    <t>OUT-Of-State</t>
  </si>
  <si>
    <t>Tuition</t>
  </si>
  <si>
    <t>In yellow blocks, enter the number of students and the credit hours per student per school.</t>
  </si>
  <si>
    <t># Ss</t>
  </si>
  <si>
    <t>#credits/</t>
  </si>
  <si>
    <t>#cr/</t>
  </si>
  <si>
    <t>Graduate Program</t>
  </si>
  <si>
    <t>In-State</t>
  </si>
  <si>
    <t>semester</t>
  </si>
  <si>
    <t>Out-State</t>
  </si>
  <si>
    <t>#C/Sem</t>
  </si>
  <si>
    <t>sem</t>
  </si>
  <si>
    <t>NY-026</t>
  </si>
  <si>
    <t>The Research Foundation for State University of New York</t>
  </si>
  <si>
    <t>FY 18-19</t>
  </si>
  <si>
    <t>Current</t>
  </si>
  <si>
    <t>FY 19-20</t>
  </si>
  <si>
    <t>FY22</t>
  </si>
  <si>
    <t>FY 20-21</t>
  </si>
  <si>
    <t>FY23</t>
  </si>
  <si>
    <t>FY24</t>
  </si>
  <si>
    <t>FY25</t>
  </si>
  <si>
    <t>FY26</t>
  </si>
  <si>
    <t>FY27</t>
  </si>
  <si>
    <t>FY28</t>
  </si>
  <si>
    <t>FY29</t>
  </si>
  <si>
    <t>FY30</t>
  </si>
  <si>
    <t>FY31</t>
  </si>
  <si>
    <t>FY32</t>
  </si>
  <si>
    <t>year 1 start between 1/1/18 - 12/31/18</t>
  </si>
  <si>
    <t>Updated 6/29/16</t>
  </si>
  <si>
    <t>FY 21-22</t>
  </si>
  <si>
    <t>The UB Commons, Suite 211</t>
  </si>
  <si>
    <t>Amherst, NY 14228</t>
  </si>
  <si>
    <t>year 1 start between 1/1/16 - 12/31/16</t>
  </si>
  <si>
    <t>year 1 start between 1/1/17- 12/31/17</t>
  </si>
  <si>
    <t>year 1 start between 1/1/19 - 12/31/19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</si>
</sst>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,##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0_);_(* \(#,##0.0000\);_(* &quot;-&quot;??_);_(@_)"/>
    <numFmt numFmtId="175" formatCode="0.0%"/>
    <numFmt numFmtId="176" formatCode="mm/dd/yy"/>
    <numFmt numFmtId="177" formatCode="&quot;$&quot;#,##0"/>
    <numFmt numFmtId="178" formatCode="m/d"/>
    <numFmt numFmtId="179" formatCode="0.0"/>
    <numFmt numFmtId="180" formatCode="dd\-mmm\-yy"/>
    <numFmt numFmtId="181" formatCode="dd\-mmm"/>
    <numFmt numFmtId="182" formatCode="mm/dd/yy\ h:mm"/>
    <numFmt numFmtId="183" formatCode="dd\-mmm\-yy_)"/>
    <numFmt numFmtId="184" formatCode="hh:mm\ AM/PM_)"/>
    <numFmt numFmtId="185" formatCode="0.00_)"/>
    <numFmt numFmtId="186" formatCode="0_)"/>
    <numFmt numFmtId="187" formatCode="0.0_)"/>
    <numFmt numFmtId="188" formatCode="&quot;$&quot;#,##0.;[Red]\(&quot;$&quot;#,##0."/>
    <numFmt numFmtId="189" formatCode="mmddyy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yy/mm/dd"/>
    <numFmt numFmtId="195" formatCode="#,##0._);\(#,##0.\)"/>
    <numFmt numFmtId="196" formatCode="#,##0.\);\(#,##0.\)"/>
    <numFmt numFmtId="197" formatCode="#,##0.;\(#,##0.\)"/>
    <numFmt numFmtId="198" formatCode="#,##0.00;\(#,##0.\)"/>
    <numFmt numFmtId="199" formatCode="#,##0.;\(#,##0\)"/>
    <numFmt numFmtId="200" formatCode="&quot;$&quot;#,##0;[Red]\(&quot;$&quot;#,##0\)"/>
    <numFmt numFmtId="201" formatCode="&quot;$&quot;#,##0.;[Red]\(&quot;$&quot;#,##0\)"/>
    <numFmt numFmtId="202" formatCode="#,##0.\);[Red]\(#,##0.\)"/>
    <numFmt numFmtId="203" formatCode="#,##0\);[Red]\(#,##0.\)"/>
    <numFmt numFmtId="204" formatCode="#,##0.;[Red]\(#,##0.\)"/>
    <numFmt numFmtId="205" formatCode="hh:mm:ss\ AM/PM"/>
    <numFmt numFmtId="206" formatCode="#,##0."/>
    <numFmt numFmtId="207" formatCode="00"/>
    <numFmt numFmtId="208" formatCode="mm/dd/yy\ h:mm:ss"/>
    <numFmt numFmtId="209" formatCode="_(* #,##0.000_);_(* \(#,##0.000\);_(* &quot;-&quot;???_);_(@_)"/>
    <numFmt numFmtId="210" formatCode="[$-409]dddd\,\ mmmm\ dd\,\ yyyy"/>
    <numFmt numFmtId="211" formatCode="mm/dd/yy;@"/>
    <numFmt numFmtId="212" formatCode="0.000"/>
    <numFmt numFmtId="213" formatCode="m/d/yy"/>
    <numFmt numFmtId="214" formatCode="#,##0.000"/>
    <numFmt numFmtId="215" formatCode="#,##0.0000"/>
    <numFmt numFmtId="216" formatCode="[$€-2]\ #,##0.00_);[Red]\([$€-2]\ #,##0.00\)"/>
    <numFmt numFmtId="217" formatCode="mmm\-yyyy"/>
    <numFmt numFmtId="218" formatCode="&quot;$&quot;#,##0.0"/>
    <numFmt numFmtId="219" formatCode="0.0000"/>
  </numFmts>
  <fonts count="21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Tms Rmn"/>
      <family val="0"/>
    </font>
    <font>
      <sz val="8"/>
      <name val="Tahoma"/>
      <family val="2"/>
    </font>
    <font>
      <b/>
      <sz val="16"/>
      <name val="Times New Roman"/>
      <family val="1"/>
    </font>
    <font>
      <sz val="10"/>
      <name val="Garamond"/>
      <family val="1"/>
    </font>
    <font>
      <b/>
      <sz val="10"/>
      <name val="Garamond"/>
      <family val="1"/>
    </font>
    <font>
      <sz val="10"/>
      <color indexed="10"/>
      <name val="Garamond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Garamond"/>
      <family val="1"/>
    </font>
    <font>
      <sz val="16"/>
      <name val="Arial"/>
      <family val="2"/>
    </font>
    <font>
      <sz val="6"/>
      <name val="Arial"/>
      <family val="2"/>
    </font>
    <font>
      <sz val="10"/>
      <name val="Helv"/>
      <family val="0"/>
    </font>
    <font>
      <sz val="10"/>
      <color indexed="10"/>
      <name val="Helv"/>
      <family val="0"/>
    </font>
    <font>
      <b/>
      <sz val="10"/>
      <name val="Helv"/>
      <family val="0"/>
    </font>
    <font>
      <sz val="16"/>
      <name val="Helv"/>
      <family val="0"/>
    </font>
    <font>
      <sz val="8"/>
      <name val="Helv"/>
      <family val="0"/>
    </font>
    <font>
      <sz val="10"/>
      <name val="Courier New"/>
      <family val="3"/>
    </font>
    <font>
      <sz val="6"/>
      <color indexed="10"/>
      <name val="Tms Rmn"/>
      <family val="0"/>
    </font>
    <font>
      <sz val="10"/>
      <name val="courier"/>
      <family val="3"/>
    </font>
    <font>
      <sz val="8"/>
      <color indexed="10"/>
      <name val="Helv"/>
      <family val="0"/>
    </font>
    <font>
      <sz val="7"/>
      <name val="Helv"/>
      <family val="0"/>
    </font>
    <font>
      <sz val="10"/>
      <color indexed="10"/>
      <name val="Courier New"/>
      <family val="3"/>
    </font>
    <font>
      <sz val="8"/>
      <name val="Courier New"/>
      <family val="3"/>
    </font>
    <font>
      <sz val="8"/>
      <color indexed="12"/>
      <name val="Courier New"/>
      <family val="3"/>
    </font>
    <font>
      <sz val="10"/>
      <color indexed="12"/>
      <name val="Courier New"/>
      <family val="3"/>
    </font>
    <font>
      <sz val="10"/>
      <color indexed="8"/>
      <name val="Courier New"/>
      <family val="3"/>
    </font>
    <font>
      <i/>
      <sz val="8"/>
      <name val="Helv"/>
      <family val="0"/>
    </font>
    <font>
      <sz val="10"/>
      <name val="Tms Rmn"/>
      <family val="0"/>
    </font>
    <font>
      <sz val="6"/>
      <name val="Courier"/>
      <family val="3"/>
    </font>
    <font>
      <sz val="10"/>
      <color indexed="10"/>
      <name val="Courier"/>
      <family val="3"/>
    </font>
    <font>
      <sz val="10"/>
      <color indexed="10"/>
      <name val="Tms Rmn"/>
      <family val="0"/>
    </font>
    <font>
      <i/>
      <sz val="10"/>
      <name val="Helv"/>
      <family val="0"/>
    </font>
    <font>
      <sz val="9"/>
      <name val="Helv"/>
      <family val="0"/>
    </font>
    <font>
      <sz val="9"/>
      <name val="Tms Rmn"/>
      <family val="0"/>
    </font>
    <font>
      <b/>
      <sz val="9"/>
      <name val="Helv"/>
      <family val="0"/>
    </font>
    <font>
      <b/>
      <sz val="12"/>
      <name val="Helv"/>
      <family val="0"/>
    </font>
    <font>
      <sz val="18"/>
      <name val="Helv"/>
      <family val="0"/>
    </font>
    <font>
      <i/>
      <sz val="9"/>
      <name val="Helv"/>
      <family val="0"/>
    </font>
    <font>
      <sz val="6"/>
      <color indexed="8"/>
      <name val="Tms Rmn"/>
      <family val="0"/>
    </font>
    <font>
      <b/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ndale Mono"/>
      <family val="3"/>
    </font>
    <font>
      <sz val="10"/>
      <color indexed="9"/>
      <name val="Helv"/>
      <family val="0"/>
    </font>
    <font>
      <sz val="9"/>
      <name val="Geneva"/>
      <family val="0"/>
    </font>
    <font>
      <sz val="8"/>
      <name val="Arial"/>
      <family val="2"/>
    </font>
    <font>
      <sz val="8"/>
      <color indexed="10"/>
      <name val="Arial"/>
      <family val="2"/>
    </font>
    <font>
      <i/>
      <u val="single"/>
      <sz val="6"/>
      <color indexed="10"/>
      <name val="Arial"/>
      <family val="2"/>
    </font>
    <font>
      <sz val="7"/>
      <name val="Arial"/>
      <family val="2"/>
    </font>
    <font>
      <sz val="8"/>
      <color indexed="12"/>
      <name val="Helvetica"/>
      <family val="2"/>
    </font>
    <font>
      <sz val="8"/>
      <name val="Helvetica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color indexed="10"/>
      <name val="Times New Roman"/>
      <family val="1"/>
    </font>
    <font>
      <sz val="8"/>
      <color indexed="12"/>
      <name val="Arial"/>
      <family val="2"/>
    </font>
    <font>
      <sz val="12"/>
      <color indexed="12"/>
      <name val="Times New Roman"/>
      <family val="1"/>
    </font>
    <font>
      <sz val="12"/>
      <color indexed="12"/>
      <name val="arial"/>
      <family val="2"/>
    </font>
    <font>
      <sz val="8"/>
      <color indexed="18"/>
      <name val="arial"/>
      <family val="2"/>
    </font>
    <font>
      <sz val="7"/>
      <color indexed="18"/>
      <name val="arial"/>
      <family val="2"/>
    </font>
    <font>
      <sz val="7"/>
      <color indexed="8"/>
      <name val="arial"/>
      <family val="2"/>
    </font>
    <font>
      <sz val="9"/>
      <color indexed="10"/>
      <name val="Times New Roman"/>
      <family val="1"/>
    </font>
    <font>
      <sz val="8"/>
      <color indexed="8"/>
      <name val="Arial"/>
      <family val="2"/>
    </font>
    <font>
      <sz val="11"/>
      <color indexed="12"/>
      <name val="Times New Roman"/>
      <family val="1"/>
    </font>
    <font>
      <b/>
      <i/>
      <u val="single"/>
      <sz val="8"/>
      <name val="Helvetica"/>
      <family val="0"/>
    </font>
    <font>
      <b/>
      <sz val="8"/>
      <color indexed="14"/>
      <name val="arial"/>
      <family val="2"/>
    </font>
    <font>
      <sz val="8"/>
      <color indexed="32"/>
      <name val="Helvetica"/>
      <family val="2"/>
    </font>
    <font>
      <sz val="8"/>
      <color indexed="14"/>
      <name val="Arial"/>
      <family val="2"/>
    </font>
    <font>
      <sz val="12"/>
      <color indexed="33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Arial"/>
      <family val="2"/>
    </font>
    <font>
      <sz val="11"/>
      <color indexed="10"/>
      <name val="arial"/>
      <family val="2"/>
    </font>
    <font>
      <sz val="12"/>
      <color indexed="14"/>
      <name val="Times New Roman"/>
      <family val="1"/>
    </font>
    <font>
      <b/>
      <sz val="8"/>
      <name val="Helvetica"/>
      <family val="0"/>
    </font>
    <font>
      <b/>
      <u val="single"/>
      <sz val="8"/>
      <color indexed="10"/>
      <name val="Helvetica"/>
      <family val="2"/>
    </font>
    <font>
      <b/>
      <sz val="8"/>
      <color indexed="8"/>
      <name val="Helvetica"/>
      <family val="0"/>
    </font>
    <font>
      <b/>
      <u val="single"/>
      <sz val="8"/>
      <color indexed="12"/>
      <name val="Helvetica"/>
      <family val="2"/>
    </font>
    <font>
      <b/>
      <u val="single"/>
      <sz val="8"/>
      <color indexed="14"/>
      <name val="Helvetica"/>
      <family val="2"/>
    </font>
    <font>
      <b/>
      <u val="single"/>
      <sz val="8"/>
      <color indexed="18"/>
      <name val="Helvetica"/>
      <family val="2"/>
    </font>
    <font>
      <b/>
      <u val="single"/>
      <sz val="8"/>
      <color indexed="17"/>
      <name val="Helvetica"/>
      <family val="2"/>
    </font>
    <font>
      <sz val="8"/>
      <color indexed="10"/>
      <name val="Helvetica"/>
      <family val="2"/>
    </font>
    <font>
      <sz val="7.5"/>
      <name val="Arial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sz val="10"/>
      <name val="Geneva"/>
      <family val="0"/>
    </font>
    <font>
      <sz val="10"/>
      <color indexed="18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b/>
      <sz val="8"/>
      <color indexed="8"/>
      <name val="Arial"/>
      <family val="2"/>
    </font>
    <font>
      <sz val="20"/>
      <name val="Helv"/>
      <family val="0"/>
    </font>
    <font>
      <b/>
      <i/>
      <sz val="8"/>
      <name val="Arial"/>
      <family val="2"/>
    </font>
    <font>
      <sz val="6"/>
      <color indexed="9"/>
      <name val="Tms Rmn"/>
      <family val="0"/>
    </font>
    <font>
      <sz val="10"/>
      <color indexed="9"/>
      <name val="Tms Rmn"/>
      <family val="0"/>
    </font>
    <font>
      <sz val="10"/>
      <color indexed="9"/>
      <name val="Courier New"/>
      <family val="3"/>
    </font>
    <font>
      <sz val="11"/>
      <name val="Tms Rmn"/>
      <family val="0"/>
    </font>
    <font>
      <sz val="11"/>
      <name val="Arial"/>
      <family val="2"/>
    </font>
    <font>
      <sz val="8"/>
      <name val="Courier"/>
      <family val="3"/>
    </font>
    <font>
      <b/>
      <sz val="11"/>
      <name val="Helv"/>
      <family val="0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name val="Helv"/>
      <family val="0"/>
    </font>
    <font>
      <sz val="10"/>
      <name val="Helvetica"/>
      <family val="0"/>
    </font>
    <font>
      <sz val="12"/>
      <color indexed="10"/>
      <name val="Arial"/>
      <family val="2"/>
    </font>
    <font>
      <b/>
      <i/>
      <sz val="8"/>
      <color indexed="8"/>
      <name val="Arial"/>
      <family val="2"/>
    </font>
    <font>
      <b/>
      <sz val="12"/>
      <color indexed="10"/>
      <name val="Arial"/>
      <family val="2"/>
    </font>
    <font>
      <u val="single"/>
      <sz val="11"/>
      <name val="Arial"/>
      <family val="2"/>
    </font>
    <font>
      <sz val="8"/>
      <name val="Tms Rmn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sz val="9"/>
      <name val="Courier New"/>
      <family val="3"/>
    </font>
    <font>
      <b/>
      <sz val="8"/>
      <color indexed="56"/>
      <name val="Arial"/>
      <family val="2"/>
    </font>
    <font>
      <u val="single"/>
      <sz val="8"/>
      <color indexed="12"/>
      <name val="Arial"/>
      <family val="2"/>
    </font>
    <font>
      <sz val="8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Garamond"/>
      <family val="1"/>
    </font>
    <font>
      <sz val="10"/>
      <color indexed="9"/>
      <name val="Garamond"/>
      <family val="1"/>
    </font>
    <font>
      <sz val="9"/>
      <color indexed="9"/>
      <name val="Arial"/>
      <family val="2"/>
    </font>
    <font>
      <b/>
      <sz val="10"/>
      <color indexed="9"/>
      <name val="Tms Rmn"/>
      <family val="0"/>
    </font>
    <font>
      <sz val="8"/>
      <color indexed="9"/>
      <name val="Tms Rmn"/>
      <family val="0"/>
    </font>
    <font>
      <sz val="11"/>
      <color indexed="9"/>
      <name val="Tms Rmn"/>
      <family val="0"/>
    </font>
    <font>
      <sz val="8"/>
      <color indexed="10"/>
      <name val="Garamond"/>
      <family val="1"/>
    </font>
    <font>
      <sz val="8"/>
      <color indexed="9"/>
      <name val="Arial"/>
      <family val="2"/>
    </font>
    <font>
      <sz val="10"/>
      <color indexed="60"/>
      <name val="Garamond"/>
      <family val="1"/>
    </font>
    <font>
      <sz val="9"/>
      <color indexed="9"/>
      <name val="Tms Rmn"/>
      <family val="0"/>
    </font>
    <font>
      <sz val="10"/>
      <color indexed="8"/>
      <name val="Garamond"/>
      <family val="1"/>
    </font>
    <font>
      <sz val="7"/>
      <color indexed="10"/>
      <name val="Helv"/>
      <family val="0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4"/>
      <color indexed="10"/>
      <name val="Helv"/>
      <family val="0"/>
    </font>
    <font>
      <sz val="20"/>
      <color indexed="10"/>
      <name val="Helv"/>
      <family val="0"/>
    </font>
    <font>
      <sz val="8"/>
      <name val="Segoe UI"/>
      <family val="2"/>
    </font>
    <font>
      <b/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0"/>
      <color rgb="FFFF0000"/>
      <name val="Garamond"/>
      <family val="1"/>
    </font>
    <font>
      <sz val="8"/>
      <color theme="0"/>
      <name val="Garamond"/>
      <family val="1"/>
    </font>
    <font>
      <sz val="10"/>
      <color theme="0"/>
      <name val="Garamond"/>
      <family val="1"/>
    </font>
    <font>
      <sz val="6"/>
      <color rgb="FFFF0000"/>
      <name val="Tms Rmn"/>
      <family val="0"/>
    </font>
    <font>
      <sz val="9"/>
      <color theme="0"/>
      <name val="Arial"/>
      <family val="2"/>
    </font>
    <font>
      <sz val="6"/>
      <color theme="0"/>
      <name val="Tms Rmn"/>
      <family val="0"/>
    </font>
    <font>
      <sz val="10"/>
      <color theme="0"/>
      <name val="Tms Rmn"/>
      <family val="0"/>
    </font>
    <font>
      <b/>
      <sz val="10"/>
      <color theme="0"/>
      <name val="Tms Rmn"/>
      <family val="0"/>
    </font>
    <font>
      <sz val="8"/>
      <color theme="0"/>
      <name val="Tms Rmn"/>
      <family val="0"/>
    </font>
    <font>
      <sz val="11"/>
      <color theme="0"/>
      <name val="Tms Rmn"/>
      <family val="0"/>
    </font>
    <font>
      <sz val="10"/>
      <color theme="0"/>
      <name val="Courier New"/>
      <family val="3"/>
    </font>
    <font>
      <sz val="10"/>
      <color theme="0"/>
      <name val="Helv"/>
      <family val="0"/>
    </font>
    <font>
      <sz val="8"/>
      <color rgb="FFFF0000"/>
      <name val="Garamond"/>
      <family val="1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10"/>
      <color rgb="FFC00000"/>
      <name val="Garamond"/>
      <family val="1"/>
    </font>
    <font>
      <sz val="9"/>
      <color theme="0"/>
      <name val="Tms Rmn"/>
      <family val="0"/>
    </font>
    <font>
      <sz val="10"/>
      <color theme="1"/>
      <name val="Garamond"/>
      <family val="1"/>
    </font>
    <font>
      <sz val="10"/>
      <color rgb="FFFF0000"/>
      <name val="Helv"/>
      <family val="0"/>
    </font>
    <font>
      <sz val="7"/>
      <color rgb="FFFF0000"/>
      <name val="Helv"/>
      <family val="0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4"/>
      <color rgb="FFFF0000"/>
      <name val="Helv"/>
      <family val="0"/>
    </font>
    <font>
      <sz val="20"/>
      <color rgb="FFFF0000"/>
      <name val="Helv"/>
      <family val="0"/>
    </font>
    <font>
      <sz val="10"/>
      <color rgb="FFFF0000"/>
      <name val="Courier New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0" fillId="2" borderId="0" applyNumberFormat="0" applyBorder="0" applyAlignment="0" applyProtection="0"/>
    <xf numFmtId="0" fontId="170" fillId="3" borderId="0" applyNumberFormat="0" applyBorder="0" applyAlignment="0" applyProtection="0"/>
    <xf numFmtId="0" fontId="170" fillId="4" borderId="0" applyNumberFormat="0" applyBorder="0" applyAlignment="0" applyProtection="0"/>
    <xf numFmtId="0" fontId="170" fillId="5" borderId="0" applyNumberFormat="0" applyBorder="0" applyAlignment="0" applyProtection="0"/>
    <xf numFmtId="0" fontId="170" fillId="6" borderId="0" applyNumberFormat="0" applyBorder="0" applyAlignment="0" applyProtection="0"/>
    <xf numFmtId="0" fontId="170" fillId="7" borderId="0" applyNumberFormat="0" applyBorder="0" applyAlignment="0" applyProtection="0"/>
    <xf numFmtId="0" fontId="170" fillId="8" borderId="0" applyNumberFormat="0" applyBorder="0" applyAlignment="0" applyProtection="0"/>
    <xf numFmtId="0" fontId="170" fillId="9" borderId="0" applyNumberFormat="0" applyBorder="0" applyAlignment="0" applyProtection="0"/>
    <xf numFmtId="0" fontId="170" fillId="10" borderId="0" applyNumberFormat="0" applyBorder="0" applyAlignment="0" applyProtection="0"/>
    <xf numFmtId="0" fontId="170" fillId="11" borderId="0" applyNumberFormat="0" applyBorder="0" applyAlignment="0" applyProtection="0"/>
    <xf numFmtId="0" fontId="170" fillId="12" borderId="0" applyNumberFormat="0" applyBorder="0" applyAlignment="0" applyProtection="0"/>
    <xf numFmtId="0" fontId="170" fillId="13" borderId="0" applyNumberFormat="0" applyBorder="0" applyAlignment="0" applyProtection="0"/>
    <xf numFmtId="0" fontId="171" fillId="14" borderId="0" applyNumberFormat="0" applyBorder="0" applyAlignment="0" applyProtection="0"/>
    <xf numFmtId="0" fontId="171" fillId="15" borderId="0" applyNumberFormat="0" applyBorder="0" applyAlignment="0" applyProtection="0"/>
    <xf numFmtId="0" fontId="171" fillId="16" borderId="0" applyNumberFormat="0" applyBorder="0" applyAlignment="0" applyProtection="0"/>
    <xf numFmtId="0" fontId="171" fillId="17" borderId="0" applyNumberFormat="0" applyBorder="0" applyAlignment="0" applyProtection="0"/>
    <xf numFmtId="0" fontId="171" fillId="18" borderId="0" applyNumberFormat="0" applyBorder="0" applyAlignment="0" applyProtection="0"/>
    <xf numFmtId="0" fontId="171" fillId="19" borderId="0" applyNumberFormat="0" applyBorder="0" applyAlignment="0" applyProtection="0"/>
    <xf numFmtId="0" fontId="171" fillId="20" borderId="0" applyNumberFormat="0" applyBorder="0" applyAlignment="0" applyProtection="0"/>
    <xf numFmtId="0" fontId="171" fillId="21" borderId="0" applyNumberFormat="0" applyBorder="0" applyAlignment="0" applyProtection="0"/>
    <xf numFmtId="0" fontId="171" fillId="22" borderId="0" applyNumberFormat="0" applyBorder="0" applyAlignment="0" applyProtection="0"/>
    <xf numFmtId="0" fontId="171" fillId="23" borderId="0" applyNumberFormat="0" applyBorder="0" applyAlignment="0" applyProtection="0"/>
    <xf numFmtId="0" fontId="171" fillId="24" borderId="0" applyNumberFormat="0" applyBorder="0" applyAlignment="0" applyProtection="0"/>
    <xf numFmtId="0" fontId="171" fillId="25" borderId="0" applyNumberFormat="0" applyBorder="0" applyAlignment="0" applyProtection="0"/>
    <xf numFmtId="0" fontId="172" fillId="26" borderId="0" applyNumberFormat="0" applyBorder="0" applyAlignment="0" applyProtection="0"/>
    <xf numFmtId="0" fontId="173" fillId="27" borderId="1" applyNumberFormat="0" applyAlignment="0" applyProtection="0"/>
    <xf numFmtId="0" fontId="1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6" fillId="29" borderId="0" applyNumberFormat="0" applyBorder="0" applyAlignment="0" applyProtection="0"/>
    <xf numFmtId="0" fontId="177" fillId="0" borderId="3" applyNumberFormat="0" applyFill="0" applyAlignment="0" applyProtection="0"/>
    <xf numFmtId="0" fontId="178" fillId="0" borderId="4" applyNumberFormat="0" applyFill="0" applyAlignment="0" applyProtection="0"/>
    <xf numFmtId="0" fontId="179" fillId="0" borderId="5" applyNumberFormat="0" applyFill="0" applyAlignment="0" applyProtection="0"/>
    <xf numFmtId="0" fontId="1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80" fillId="30" borderId="1" applyNumberFormat="0" applyAlignment="0" applyProtection="0"/>
    <xf numFmtId="0" fontId="181" fillId="0" borderId="6" applyNumberFormat="0" applyFill="0" applyAlignment="0" applyProtection="0"/>
    <xf numFmtId="0" fontId="1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4" fillId="0" borderId="0">
      <alignment/>
      <protection/>
    </xf>
    <xf numFmtId="0" fontId="95" fillId="0" borderId="0">
      <alignment/>
      <protection/>
    </xf>
    <xf numFmtId="0" fontId="56" fillId="0" borderId="0" applyProtection="0">
      <alignment/>
    </xf>
    <xf numFmtId="167" fontId="3" fillId="0" borderId="0">
      <alignment/>
      <protection/>
    </xf>
    <xf numFmtId="167" fontId="2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9" applyNumberFormat="0" applyFill="0" applyAlignment="0" applyProtection="0"/>
    <xf numFmtId="0" fontId="186" fillId="0" borderId="0" applyNumberFormat="0" applyFill="0" applyBorder="0" applyAlignment="0" applyProtection="0"/>
  </cellStyleXfs>
  <cellXfs count="1124">
    <xf numFmtId="0" fontId="0" fillId="0" borderId="0" xfId="0" applyAlignment="1">
      <alignment/>
    </xf>
    <xf numFmtId="167" fontId="6" fillId="0" borderId="0" xfId="66" applyFont="1">
      <alignment/>
      <protection/>
    </xf>
    <xf numFmtId="167" fontId="7" fillId="0" borderId="0" xfId="66" applyFont="1">
      <alignment/>
      <protection/>
    </xf>
    <xf numFmtId="176" fontId="6" fillId="33" borderId="10" xfId="66" applyNumberFormat="1" applyFont="1" applyFill="1" applyBorder="1" applyProtection="1">
      <alignment/>
      <protection locked="0"/>
    </xf>
    <xf numFmtId="167" fontId="8" fillId="0" borderId="0" xfId="66" applyFont="1">
      <alignment/>
      <protection/>
    </xf>
    <xf numFmtId="167" fontId="6" fillId="33" borderId="10" xfId="66" applyFont="1" applyFill="1" applyBorder="1" applyProtection="1">
      <alignment/>
      <protection locked="0"/>
    </xf>
    <xf numFmtId="167" fontId="6" fillId="33" borderId="11" xfId="66" applyFont="1" applyFill="1" applyBorder="1" applyProtection="1">
      <alignment/>
      <protection locked="0"/>
    </xf>
    <xf numFmtId="177" fontId="6" fillId="0" borderId="0" xfId="66" applyNumberFormat="1" applyFont="1">
      <alignment/>
      <protection/>
    </xf>
    <xf numFmtId="167" fontId="9" fillId="0" borderId="0" xfId="66" applyFont="1" applyAlignment="1" applyProtection="1">
      <alignment horizontal="left" vertical="center"/>
      <protection/>
    </xf>
    <xf numFmtId="167" fontId="10" fillId="0" borderId="0" xfId="66" applyFont="1">
      <alignment/>
      <protection/>
    </xf>
    <xf numFmtId="3" fontId="9" fillId="0" borderId="0" xfId="66" applyNumberFormat="1" applyFont="1" applyAlignment="1" applyProtection="1">
      <alignment horizontal="center"/>
      <protection/>
    </xf>
    <xf numFmtId="167" fontId="6" fillId="0" borderId="12" xfId="66" applyFont="1" applyBorder="1">
      <alignment/>
      <protection/>
    </xf>
    <xf numFmtId="173" fontId="6" fillId="33" borderId="13" xfId="42" applyNumberFormat="1" applyFont="1" applyFill="1" applyBorder="1" applyAlignment="1" applyProtection="1">
      <alignment/>
      <protection locked="0"/>
    </xf>
    <xf numFmtId="167" fontId="6" fillId="0" borderId="14" xfId="66" applyFont="1" applyBorder="1">
      <alignment/>
      <protection/>
    </xf>
    <xf numFmtId="173" fontId="6" fillId="33" borderId="11" xfId="42" applyNumberFormat="1" applyFont="1" applyFill="1" applyBorder="1" applyAlignment="1" applyProtection="1">
      <alignment/>
      <protection locked="0"/>
    </xf>
    <xf numFmtId="167" fontId="6" fillId="0" borderId="0" xfId="66" applyFont="1" applyProtection="1">
      <alignment/>
      <protection/>
    </xf>
    <xf numFmtId="167" fontId="6" fillId="0" borderId="0" xfId="66" applyFont="1" applyBorder="1" applyProtection="1">
      <alignment/>
      <protection/>
    </xf>
    <xf numFmtId="173" fontId="6" fillId="0" borderId="13" xfId="42" applyNumberFormat="1" applyFont="1" applyFill="1" applyBorder="1" applyAlignment="1" applyProtection="1">
      <alignment/>
      <protection locked="0"/>
    </xf>
    <xf numFmtId="173" fontId="6" fillId="0" borderId="11" xfId="42" applyNumberFormat="1" applyFont="1" applyFill="1" applyBorder="1" applyAlignment="1" applyProtection="1">
      <alignment/>
      <protection locked="0"/>
    </xf>
    <xf numFmtId="167" fontId="10" fillId="0" borderId="0" xfId="66" applyFont="1" applyProtection="1">
      <alignment/>
      <protection/>
    </xf>
    <xf numFmtId="167" fontId="11" fillId="0" borderId="0" xfId="66" applyFont="1" applyAlignment="1" applyProtection="1">
      <alignment vertical="center"/>
      <protection/>
    </xf>
    <xf numFmtId="167" fontId="11" fillId="0" borderId="0" xfId="66" applyFont="1" applyProtection="1">
      <alignment/>
      <protection/>
    </xf>
    <xf numFmtId="167" fontId="12" fillId="0" borderId="0" xfId="66" applyFont="1" applyAlignment="1" applyProtection="1">
      <alignment horizontal="right"/>
      <protection/>
    </xf>
    <xf numFmtId="173" fontId="13" fillId="0" borderId="10" xfId="42" applyNumberFormat="1" applyFont="1" applyFill="1" applyBorder="1" applyAlignment="1" applyProtection="1">
      <alignment horizontal="center" vertical="center"/>
      <protection/>
    </xf>
    <xf numFmtId="173" fontId="13" fillId="0" borderId="0" xfId="66" applyNumberFormat="1" applyFont="1" applyProtection="1">
      <alignment/>
      <protection/>
    </xf>
    <xf numFmtId="173" fontId="13" fillId="0" borderId="14" xfId="66" applyNumberFormat="1" applyFont="1" applyBorder="1" applyProtection="1">
      <alignment/>
      <protection/>
    </xf>
    <xf numFmtId="167" fontId="14" fillId="0" borderId="0" xfId="66" applyFont="1" applyFill="1" applyAlignment="1" applyProtection="1">
      <alignment vertical="center"/>
      <protection/>
    </xf>
    <xf numFmtId="167" fontId="10" fillId="0" borderId="0" xfId="66" applyFont="1" applyFill="1" applyProtection="1">
      <alignment/>
      <protection/>
    </xf>
    <xf numFmtId="167" fontId="14" fillId="0" borderId="0" xfId="66" applyFont="1" applyFill="1" applyAlignment="1" applyProtection="1">
      <alignment horizontal="center"/>
      <protection/>
    </xf>
    <xf numFmtId="167" fontId="13" fillId="0" borderId="0" xfId="66" applyFont="1" applyFill="1" applyProtection="1">
      <alignment/>
      <protection/>
    </xf>
    <xf numFmtId="173" fontId="13" fillId="0" borderId="10" xfId="42" applyNumberFormat="1" applyFont="1" applyFill="1" applyBorder="1" applyAlignment="1" applyProtection="1">
      <alignment/>
      <protection/>
    </xf>
    <xf numFmtId="167" fontId="13" fillId="0" borderId="10" xfId="66" applyFont="1" applyFill="1" applyBorder="1" applyProtection="1">
      <alignment/>
      <protection/>
    </xf>
    <xf numFmtId="43" fontId="15" fillId="0" borderId="0" xfId="66" applyNumberFormat="1" applyFont="1" applyProtection="1">
      <alignment/>
      <protection/>
    </xf>
    <xf numFmtId="167" fontId="3" fillId="0" borderId="0" xfId="66">
      <alignment/>
      <protection/>
    </xf>
    <xf numFmtId="167" fontId="3" fillId="34" borderId="15" xfId="66" applyFill="1" applyBorder="1">
      <alignment/>
      <protection/>
    </xf>
    <xf numFmtId="167" fontId="3" fillId="34" borderId="16" xfId="66" applyFill="1" applyBorder="1">
      <alignment/>
      <protection/>
    </xf>
    <xf numFmtId="167" fontId="3" fillId="34" borderId="17" xfId="66" applyFill="1" applyBorder="1">
      <alignment/>
      <protection/>
    </xf>
    <xf numFmtId="167" fontId="3" fillId="34" borderId="18" xfId="66" applyFill="1" applyBorder="1">
      <alignment/>
      <protection/>
    </xf>
    <xf numFmtId="167" fontId="3" fillId="34" borderId="0" xfId="66" applyFill="1" applyBorder="1">
      <alignment/>
      <protection/>
    </xf>
    <xf numFmtId="167" fontId="3" fillId="34" borderId="19" xfId="66" applyFill="1" applyBorder="1">
      <alignment/>
      <protection/>
    </xf>
    <xf numFmtId="167" fontId="3" fillId="34" borderId="20" xfId="66" applyFill="1" applyBorder="1">
      <alignment/>
      <protection/>
    </xf>
    <xf numFmtId="167" fontId="3" fillId="34" borderId="21" xfId="66" applyFill="1" applyBorder="1">
      <alignment/>
      <protection/>
    </xf>
    <xf numFmtId="167" fontId="3" fillId="34" borderId="22" xfId="66" applyFill="1" applyBorder="1">
      <alignment/>
      <protection/>
    </xf>
    <xf numFmtId="3" fontId="18" fillId="0" borderId="0" xfId="66" applyNumberFormat="1" applyFont="1">
      <alignment/>
      <protection/>
    </xf>
    <xf numFmtId="3" fontId="19" fillId="0" borderId="0" xfId="66" applyNumberFormat="1" applyFont="1">
      <alignment/>
      <protection/>
    </xf>
    <xf numFmtId="3" fontId="3" fillId="0" borderId="0" xfId="66" applyNumberFormat="1">
      <alignment/>
      <protection/>
    </xf>
    <xf numFmtId="3" fontId="20" fillId="0" borderId="0" xfId="66" applyNumberFormat="1" applyFont="1">
      <alignment/>
      <protection/>
    </xf>
    <xf numFmtId="3" fontId="21" fillId="0" borderId="0" xfId="66" applyNumberFormat="1" applyFont="1" applyAlignment="1" applyProtection="1">
      <alignment horizontal="left"/>
      <protection/>
    </xf>
    <xf numFmtId="3" fontId="22" fillId="0" borderId="0" xfId="66" applyNumberFormat="1" applyFont="1" applyAlignment="1" applyProtection="1">
      <alignment horizontal="left"/>
      <protection/>
    </xf>
    <xf numFmtId="3" fontId="22" fillId="0" borderId="0" xfId="66" applyNumberFormat="1" applyFont="1">
      <alignment/>
      <protection/>
    </xf>
    <xf numFmtId="3" fontId="3" fillId="0" borderId="0" xfId="66" applyNumberFormat="1" applyBorder="1">
      <alignment/>
      <protection/>
    </xf>
    <xf numFmtId="3" fontId="23" fillId="0" borderId="0" xfId="66" applyNumberFormat="1" applyFont="1" applyProtection="1">
      <alignment/>
      <protection locked="0"/>
    </xf>
    <xf numFmtId="3" fontId="3" fillId="0" borderId="23" xfId="66" applyNumberFormat="1" applyBorder="1">
      <alignment/>
      <protection/>
    </xf>
    <xf numFmtId="3" fontId="24" fillId="0" borderId="24" xfId="66" applyNumberFormat="1" applyFont="1" applyBorder="1">
      <alignment/>
      <protection/>
    </xf>
    <xf numFmtId="3" fontId="22" fillId="0" borderId="23" xfId="66" applyNumberFormat="1" applyFont="1" applyBorder="1">
      <alignment/>
      <protection/>
    </xf>
    <xf numFmtId="3" fontId="3" fillId="0" borderId="25" xfId="66" applyNumberFormat="1" applyBorder="1">
      <alignment/>
      <protection/>
    </xf>
    <xf numFmtId="3" fontId="24" fillId="0" borderId="13" xfId="66" applyNumberFormat="1" applyFont="1" applyBorder="1">
      <alignment/>
      <protection/>
    </xf>
    <xf numFmtId="3" fontId="22" fillId="0" borderId="26" xfId="66" applyNumberFormat="1" applyFont="1" applyBorder="1">
      <alignment/>
      <protection/>
    </xf>
    <xf numFmtId="3" fontId="3" fillId="0" borderId="26" xfId="66" applyNumberFormat="1" applyBorder="1">
      <alignment/>
      <protection/>
    </xf>
    <xf numFmtId="3" fontId="3" fillId="0" borderId="27" xfId="66" applyNumberFormat="1" applyBorder="1">
      <alignment/>
      <protection/>
    </xf>
    <xf numFmtId="3" fontId="24" fillId="0" borderId="28" xfId="66" applyNumberFormat="1" applyFont="1" applyBorder="1">
      <alignment/>
      <protection/>
    </xf>
    <xf numFmtId="3" fontId="22" fillId="0" borderId="28" xfId="66" applyNumberFormat="1" applyFont="1" applyBorder="1" applyAlignment="1" applyProtection="1">
      <alignment horizontal="left" indent="1"/>
      <protection/>
    </xf>
    <xf numFmtId="3" fontId="22" fillId="0" borderId="27" xfId="66" applyNumberFormat="1" applyFont="1" applyBorder="1" applyAlignment="1" applyProtection="1">
      <alignment horizontal="left" indent="1"/>
      <protection/>
    </xf>
    <xf numFmtId="3" fontId="20" fillId="0" borderId="0" xfId="66" applyNumberFormat="1" applyFont="1" applyBorder="1" applyAlignment="1" applyProtection="1">
      <alignment horizontal="left"/>
      <protection/>
    </xf>
    <xf numFmtId="3" fontId="3" fillId="0" borderId="28" xfId="66" applyNumberFormat="1" applyBorder="1">
      <alignment/>
      <protection/>
    </xf>
    <xf numFmtId="3" fontId="18" fillId="0" borderId="0" xfId="66" applyNumberFormat="1" applyFont="1" applyBorder="1">
      <alignment/>
      <protection/>
    </xf>
    <xf numFmtId="176" fontId="23" fillId="35" borderId="28" xfId="66" applyNumberFormat="1" applyFont="1" applyFill="1" applyBorder="1" applyProtection="1" quotePrefix="1">
      <alignment/>
      <protection locked="0"/>
    </xf>
    <xf numFmtId="176" fontId="23" fillId="35" borderId="27" xfId="66" applyNumberFormat="1" applyFont="1" applyFill="1" applyBorder="1" applyProtection="1">
      <alignment/>
      <protection locked="0"/>
    </xf>
    <xf numFmtId="3" fontId="25" fillId="35" borderId="0" xfId="66" applyNumberFormat="1" applyFont="1" applyFill="1">
      <alignment/>
      <protection/>
    </xf>
    <xf numFmtId="3" fontId="3" fillId="0" borderId="29" xfId="66" applyNumberFormat="1" applyBorder="1">
      <alignment/>
      <protection/>
    </xf>
    <xf numFmtId="3" fontId="3" fillId="0" borderId="30" xfId="66" applyNumberFormat="1" applyBorder="1">
      <alignment/>
      <protection/>
    </xf>
    <xf numFmtId="3" fontId="26" fillId="0" borderId="13" xfId="66" applyNumberFormat="1" applyFont="1" applyBorder="1" applyAlignment="1">
      <alignment horizontal="center"/>
      <protection/>
    </xf>
    <xf numFmtId="3" fontId="22" fillId="0" borderId="31" xfId="66" applyNumberFormat="1" applyFont="1" applyBorder="1" applyAlignment="1" applyProtection="1">
      <alignment horizontal="left"/>
      <protection/>
    </xf>
    <xf numFmtId="3" fontId="27" fillId="0" borderId="23" xfId="66" applyNumberFormat="1" applyFont="1" applyBorder="1" applyAlignment="1" applyProtection="1">
      <alignment horizontal="left"/>
      <protection/>
    </xf>
    <xf numFmtId="3" fontId="26" fillId="0" borderId="28" xfId="66" applyNumberFormat="1" applyFont="1" applyBorder="1" applyAlignment="1">
      <alignment horizontal="center"/>
      <protection/>
    </xf>
    <xf numFmtId="3" fontId="22" fillId="0" borderId="0" xfId="66" applyNumberFormat="1" applyFont="1" applyBorder="1">
      <alignment/>
      <protection/>
    </xf>
    <xf numFmtId="3" fontId="22" fillId="0" borderId="32" xfId="66" applyNumberFormat="1" applyFont="1" applyBorder="1">
      <alignment/>
      <protection/>
    </xf>
    <xf numFmtId="3" fontId="27" fillId="0" borderId="32" xfId="66" applyNumberFormat="1" applyFont="1" applyBorder="1" applyAlignment="1" applyProtection="1">
      <alignment horizontal="left"/>
      <protection/>
    </xf>
    <xf numFmtId="3" fontId="27" fillId="0" borderId="32" xfId="66" applyNumberFormat="1" applyFont="1" applyBorder="1" applyAlignment="1" applyProtection="1">
      <alignment horizontal="center"/>
      <protection/>
    </xf>
    <xf numFmtId="3" fontId="27" fillId="0" borderId="0" xfId="66" applyNumberFormat="1" applyFont="1">
      <alignment/>
      <protection/>
    </xf>
    <xf numFmtId="3" fontId="22" fillId="0" borderId="23" xfId="66" applyNumberFormat="1" applyFont="1" applyBorder="1" applyAlignment="1" applyProtection="1">
      <alignment horizontal="center"/>
      <protection/>
    </xf>
    <xf numFmtId="3" fontId="3" fillId="0" borderId="32" xfId="66" applyNumberFormat="1" applyBorder="1">
      <alignment/>
      <protection/>
    </xf>
    <xf numFmtId="3" fontId="27" fillId="0" borderId="29" xfId="66" applyNumberFormat="1" applyFont="1" applyBorder="1" applyAlignment="1" applyProtection="1">
      <alignment horizontal="left"/>
      <protection/>
    </xf>
    <xf numFmtId="3" fontId="27" fillId="0" borderId="29" xfId="66" applyNumberFormat="1" applyFont="1" applyBorder="1" applyAlignment="1" applyProtection="1">
      <alignment horizontal="center"/>
      <protection/>
    </xf>
    <xf numFmtId="3" fontId="27" fillId="0" borderId="23" xfId="66" applyNumberFormat="1" applyFont="1" applyBorder="1" applyAlignment="1" applyProtection="1">
      <alignment horizontal="center"/>
      <protection/>
    </xf>
    <xf numFmtId="2" fontId="28" fillId="0" borderId="13" xfId="66" applyNumberFormat="1" applyFont="1" applyBorder="1">
      <alignment/>
      <protection/>
    </xf>
    <xf numFmtId="3" fontId="23" fillId="35" borderId="32" xfId="66" applyNumberFormat="1" applyFont="1" applyFill="1" applyBorder="1" applyAlignment="1" applyProtection="1">
      <alignment horizontal="center"/>
      <protection/>
    </xf>
    <xf numFmtId="3" fontId="23" fillId="0" borderId="32" xfId="66" applyNumberFormat="1" applyFont="1" applyBorder="1" applyAlignment="1" applyProtection="1">
      <alignment horizontal="center"/>
      <protection/>
    </xf>
    <xf numFmtId="3" fontId="23" fillId="0" borderId="0" xfId="66" applyNumberFormat="1" applyFont="1" applyBorder="1" applyAlignment="1" applyProtection="1">
      <alignment horizontal="center"/>
      <protection/>
    </xf>
    <xf numFmtId="2" fontId="28" fillId="0" borderId="11" xfId="66" applyNumberFormat="1" applyFont="1" applyBorder="1" applyProtection="1">
      <alignment/>
      <protection locked="0"/>
    </xf>
    <xf numFmtId="3" fontId="23" fillId="35" borderId="29" xfId="66" applyNumberFormat="1" applyFont="1" applyFill="1" applyBorder="1" applyProtection="1">
      <alignment/>
      <protection locked="0"/>
    </xf>
    <xf numFmtId="3" fontId="23" fillId="35" borderId="33" xfId="66" applyNumberFormat="1" applyFont="1" applyFill="1" applyBorder="1" applyProtection="1">
      <alignment/>
      <protection/>
    </xf>
    <xf numFmtId="3" fontId="23" fillId="35" borderId="29" xfId="66" applyNumberFormat="1" applyFont="1" applyFill="1" applyBorder="1" applyProtection="1">
      <alignment/>
      <protection/>
    </xf>
    <xf numFmtId="3" fontId="23" fillId="35" borderId="23" xfId="66" applyNumberFormat="1" applyFont="1" applyFill="1" applyBorder="1" applyProtection="1">
      <alignment/>
      <protection/>
    </xf>
    <xf numFmtId="3" fontId="22" fillId="0" borderId="0" xfId="66" applyNumberFormat="1" applyFont="1" applyProtection="1">
      <alignment/>
      <protection/>
    </xf>
    <xf numFmtId="3" fontId="3" fillId="0" borderId="0" xfId="66" applyNumberFormat="1" applyProtection="1">
      <alignment/>
      <protection/>
    </xf>
    <xf numFmtId="2" fontId="28" fillId="0" borderId="28" xfId="66" applyNumberFormat="1" applyFont="1" applyBorder="1">
      <alignment/>
      <protection/>
    </xf>
    <xf numFmtId="3" fontId="23" fillId="35" borderId="32" xfId="66" applyNumberFormat="1" applyFont="1" applyFill="1" applyBorder="1" applyProtection="1">
      <alignment/>
      <protection/>
    </xf>
    <xf numFmtId="3" fontId="23" fillId="35" borderId="0" xfId="66" applyNumberFormat="1" applyFont="1" applyFill="1" applyBorder="1" applyProtection="1">
      <alignment/>
      <protection/>
    </xf>
    <xf numFmtId="3" fontId="23" fillId="35" borderId="33" xfId="66" applyNumberFormat="1" applyFont="1" applyFill="1" applyBorder="1" applyProtection="1">
      <alignment/>
      <protection locked="0"/>
    </xf>
    <xf numFmtId="3" fontId="23" fillId="35" borderId="32" xfId="66" applyNumberFormat="1" applyFont="1" applyFill="1" applyBorder="1">
      <alignment/>
      <protection/>
    </xf>
    <xf numFmtId="3" fontId="22" fillId="0" borderId="0" xfId="66" applyNumberFormat="1" applyFont="1" applyBorder="1" applyProtection="1">
      <alignment/>
      <protection/>
    </xf>
    <xf numFmtId="3" fontId="3" fillId="0" borderId="0" xfId="66" applyNumberFormat="1" applyBorder="1" applyProtection="1">
      <alignment/>
      <protection/>
    </xf>
    <xf numFmtId="2" fontId="24" fillId="0" borderId="0" xfId="66" applyNumberFormat="1" applyFont="1" applyBorder="1">
      <alignment/>
      <protection/>
    </xf>
    <xf numFmtId="3" fontId="22" fillId="0" borderId="0" xfId="66" applyNumberFormat="1" applyFont="1" quotePrefix="1">
      <alignment/>
      <protection/>
    </xf>
    <xf numFmtId="3" fontId="23" fillId="0" borderId="34" xfId="66" applyNumberFormat="1" applyFont="1" applyBorder="1" applyProtection="1">
      <alignment/>
      <protection/>
    </xf>
    <xf numFmtId="3" fontId="23" fillId="35" borderId="34" xfId="66" applyNumberFormat="1" applyFont="1" applyFill="1" applyBorder="1" applyProtection="1">
      <alignment/>
      <protection/>
    </xf>
    <xf numFmtId="3" fontId="22" fillId="0" borderId="25" xfId="66" applyNumberFormat="1" applyFont="1" applyBorder="1" applyAlignment="1" applyProtection="1">
      <alignment horizontal="left"/>
      <protection/>
    </xf>
    <xf numFmtId="3" fontId="3" fillId="0" borderId="26" xfId="66" applyNumberFormat="1" applyBorder="1" applyAlignment="1">
      <alignment/>
      <protection/>
    </xf>
    <xf numFmtId="167" fontId="3" fillId="0" borderId="26" xfId="66" applyBorder="1" applyAlignment="1">
      <alignment/>
      <protection/>
    </xf>
    <xf numFmtId="3" fontId="25" fillId="0" borderId="27" xfId="66" applyNumberFormat="1" applyFont="1" applyFill="1" applyBorder="1" applyProtection="1">
      <alignment/>
      <protection/>
    </xf>
    <xf numFmtId="3" fontId="23" fillId="35" borderId="0" xfId="66" applyNumberFormat="1" applyFont="1" applyFill="1" applyProtection="1">
      <alignment/>
      <protection locked="0"/>
    </xf>
    <xf numFmtId="3" fontId="23" fillId="0" borderId="27" xfId="66" applyNumberFormat="1" applyFont="1" applyFill="1" applyBorder="1" applyProtection="1">
      <alignment/>
      <protection/>
    </xf>
    <xf numFmtId="3" fontId="23" fillId="35" borderId="24" xfId="66" applyNumberFormat="1" applyFont="1" applyFill="1" applyBorder="1" applyProtection="1">
      <alignment/>
      <protection locked="0"/>
    </xf>
    <xf numFmtId="3" fontId="23" fillId="0" borderId="24" xfId="66" applyNumberFormat="1" applyFont="1" applyBorder="1" applyProtection="1">
      <alignment/>
      <protection locked="0"/>
    </xf>
    <xf numFmtId="3" fontId="23" fillId="0" borderId="30" xfId="66" applyNumberFormat="1" applyFont="1" applyFill="1" applyBorder="1" applyProtection="1">
      <alignment/>
      <protection/>
    </xf>
    <xf numFmtId="3" fontId="22" fillId="0" borderId="0" xfId="66" applyNumberFormat="1" applyFont="1" applyBorder="1" applyAlignment="1" applyProtection="1">
      <alignment horizontal="left"/>
      <protection/>
    </xf>
    <xf numFmtId="3" fontId="25" fillId="0" borderId="0" xfId="66" applyNumberFormat="1" applyFont="1" applyBorder="1">
      <alignment/>
      <protection/>
    </xf>
    <xf numFmtId="3" fontId="34" fillId="0" borderId="0" xfId="66" applyNumberFormat="1" applyFont="1">
      <alignment/>
      <protection/>
    </xf>
    <xf numFmtId="3" fontId="25" fillId="0" borderId="0" xfId="66" applyNumberFormat="1" applyFont="1">
      <alignment/>
      <protection/>
    </xf>
    <xf numFmtId="3" fontId="35" fillId="0" borderId="0" xfId="66" applyNumberFormat="1" applyFont="1">
      <alignment/>
      <protection/>
    </xf>
    <xf numFmtId="3" fontId="23" fillId="0" borderId="27" xfId="66" applyNumberFormat="1" applyFont="1" applyFill="1" applyBorder="1">
      <alignment/>
      <protection/>
    </xf>
    <xf numFmtId="3" fontId="23" fillId="35" borderId="23" xfId="66" applyNumberFormat="1" applyFont="1" applyFill="1" applyBorder="1">
      <alignment/>
      <protection/>
    </xf>
    <xf numFmtId="3" fontId="23" fillId="0" borderId="23" xfId="66" applyNumberFormat="1" applyFont="1" applyBorder="1">
      <alignment/>
      <protection/>
    </xf>
    <xf numFmtId="3" fontId="24" fillId="0" borderId="0" xfId="66" applyNumberFormat="1" applyFont="1" applyBorder="1">
      <alignment/>
      <protection/>
    </xf>
    <xf numFmtId="3" fontId="25" fillId="35" borderId="23" xfId="66" applyNumberFormat="1" applyFont="1" applyFill="1" applyBorder="1">
      <alignment/>
      <protection/>
    </xf>
    <xf numFmtId="3" fontId="25" fillId="0" borderId="23" xfId="66" applyNumberFormat="1" applyFont="1" applyBorder="1">
      <alignment/>
      <protection/>
    </xf>
    <xf numFmtId="3" fontId="23" fillId="0" borderId="30" xfId="66" applyNumberFormat="1" applyFont="1" applyFill="1" applyBorder="1" applyProtection="1">
      <alignment/>
      <protection locked="0"/>
    </xf>
    <xf numFmtId="3" fontId="18" fillId="0" borderId="23" xfId="66" applyNumberFormat="1" applyFont="1" applyBorder="1">
      <alignment/>
      <protection/>
    </xf>
    <xf numFmtId="3" fontId="23" fillId="35" borderId="23" xfId="66" applyNumberFormat="1" applyFont="1" applyFill="1" applyBorder="1" applyProtection="1">
      <alignment/>
      <protection locked="0"/>
    </xf>
    <xf numFmtId="3" fontId="34" fillId="35" borderId="0" xfId="66" applyNumberFormat="1" applyFont="1" applyFill="1">
      <alignment/>
      <protection/>
    </xf>
    <xf numFmtId="3" fontId="18" fillId="35" borderId="0" xfId="66" applyNumberFormat="1" applyFont="1" applyFill="1">
      <alignment/>
      <protection/>
    </xf>
    <xf numFmtId="3" fontId="23" fillId="0" borderId="23" xfId="66" applyNumberFormat="1" applyFont="1" applyBorder="1" applyProtection="1">
      <alignment/>
      <protection/>
    </xf>
    <xf numFmtId="3" fontId="23" fillId="0" borderId="27" xfId="66" applyNumberFormat="1" applyFont="1" applyBorder="1" applyProtection="1">
      <alignment/>
      <protection/>
    </xf>
    <xf numFmtId="3" fontId="24" fillId="0" borderId="0" xfId="66" applyNumberFormat="1" applyFont="1" applyBorder="1" applyProtection="1">
      <alignment/>
      <protection/>
    </xf>
    <xf numFmtId="3" fontId="19" fillId="35" borderId="35" xfId="66" applyNumberFormat="1" applyFont="1" applyFill="1" applyBorder="1" applyProtection="1">
      <alignment/>
      <protection/>
    </xf>
    <xf numFmtId="3" fontId="36" fillId="0" borderId="35" xfId="66" applyNumberFormat="1" applyFont="1" applyBorder="1" applyProtection="1">
      <alignment/>
      <protection/>
    </xf>
    <xf numFmtId="3" fontId="36" fillId="35" borderId="25" xfId="66" applyNumberFormat="1" applyFont="1" applyFill="1" applyBorder="1" applyProtection="1">
      <alignment/>
      <protection/>
    </xf>
    <xf numFmtId="3" fontId="36" fillId="35" borderId="25" xfId="66" applyNumberFormat="1" applyFont="1" applyFill="1" applyBorder="1" applyProtection="1">
      <alignment/>
      <protection/>
    </xf>
    <xf numFmtId="3" fontId="25" fillId="35" borderId="25" xfId="66" applyNumberFormat="1" applyFont="1" applyFill="1" applyBorder="1" applyProtection="1">
      <alignment/>
      <protection/>
    </xf>
    <xf numFmtId="3" fontId="37" fillId="0" borderId="25" xfId="66" applyNumberFormat="1" applyFont="1" applyBorder="1" applyProtection="1">
      <alignment/>
      <protection locked="0"/>
    </xf>
    <xf numFmtId="3" fontId="25" fillId="0" borderId="25" xfId="66" applyNumberFormat="1" applyFont="1" applyBorder="1" applyProtection="1">
      <alignment/>
      <protection/>
    </xf>
    <xf numFmtId="3" fontId="25" fillId="0" borderId="12" xfId="66" applyNumberFormat="1" applyFont="1" applyBorder="1" applyProtection="1">
      <alignment/>
      <protection/>
    </xf>
    <xf numFmtId="3" fontId="24" fillId="0" borderId="0" xfId="66" applyNumberFormat="1" applyFont="1" applyProtection="1">
      <alignment/>
      <protection/>
    </xf>
    <xf numFmtId="3" fontId="20" fillId="0" borderId="36" xfId="66" applyNumberFormat="1" applyFont="1" applyBorder="1" applyAlignment="1" applyProtection="1">
      <alignment horizontal="left"/>
      <protection/>
    </xf>
    <xf numFmtId="3" fontId="18" fillId="0" borderId="36" xfId="66" applyNumberFormat="1" applyFont="1" applyBorder="1" applyProtection="1">
      <alignment/>
      <protection/>
    </xf>
    <xf numFmtId="3" fontId="34" fillId="0" borderId="36" xfId="66" applyNumberFormat="1" applyFont="1" applyBorder="1" applyProtection="1">
      <alignment/>
      <protection/>
    </xf>
    <xf numFmtId="3" fontId="18" fillId="0" borderId="37" xfId="66" applyNumberFormat="1" applyFont="1" applyBorder="1" applyAlignment="1" applyProtection="1">
      <alignment horizontal="center"/>
      <protection/>
    </xf>
    <xf numFmtId="177" fontId="23" fillId="0" borderId="38" xfId="66" applyNumberFormat="1" applyFont="1" applyBorder="1" applyProtection="1">
      <alignment/>
      <protection/>
    </xf>
    <xf numFmtId="3" fontId="22" fillId="0" borderId="24" xfId="66" applyNumberFormat="1" applyFont="1" applyBorder="1" applyProtection="1">
      <alignment/>
      <protection/>
    </xf>
    <xf numFmtId="3" fontId="18" fillId="0" borderId="24" xfId="66" applyNumberFormat="1" applyFont="1" applyBorder="1" applyProtection="1">
      <alignment/>
      <protection/>
    </xf>
    <xf numFmtId="3" fontId="23" fillId="0" borderId="39" xfId="66" applyNumberFormat="1" applyFont="1" applyBorder="1" applyProtection="1">
      <alignment/>
      <protection/>
    </xf>
    <xf numFmtId="3" fontId="22" fillId="0" borderId="23" xfId="66" applyNumberFormat="1" applyFont="1" applyBorder="1" applyAlignment="1" applyProtection="1">
      <alignment horizontal="left"/>
      <protection/>
    </xf>
    <xf numFmtId="3" fontId="22" fillId="0" borderId="23" xfId="66" applyNumberFormat="1" applyFont="1" applyBorder="1" applyProtection="1">
      <alignment/>
      <protection/>
    </xf>
    <xf numFmtId="3" fontId="25" fillId="0" borderId="23" xfId="66" applyNumberFormat="1" applyFont="1" applyBorder="1" applyProtection="1">
      <alignment/>
      <protection/>
    </xf>
    <xf numFmtId="3" fontId="25" fillId="0" borderId="0" xfId="66" applyNumberFormat="1" applyFont="1" applyBorder="1" applyProtection="1">
      <alignment/>
      <protection/>
    </xf>
    <xf numFmtId="3" fontId="23" fillId="0" borderId="40" xfId="66" applyNumberFormat="1" applyFont="1" applyBorder="1" applyProtection="1">
      <alignment/>
      <protection/>
    </xf>
    <xf numFmtId="3" fontId="20" fillId="0" borderId="41" xfId="66" applyNumberFormat="1" applyFont="1" applyBorder="1" applyAlignment="1" applyProtection="1">
      <alignment horizontal="left"/>
      <protection/>
    </xf>
    <xf numFmtId="3" fontId="34" fillId="0" borderId="41" xfId="66" applyNumberFormat="1" applyFont="1" applyBorder="1" applyProtection="1">
      <alignment/>
      <protection/>
    </xf>
    <xf numFmtId="3" fontId="18" fillId="0" borderId="41" xfId="66" applyNumberFormat="1" applyFont="1" applyBorder="1" applyProtection="1">
      <alignment/>
      <protection/>
    </xf>
    <xf numFmtId="3" fontId="33" fillId="0" borderId="41" xfId="66" applyNumberFormat="1" applyFont="1" applyBorder="1" applyProtection="1" quotePrefix="1">
      <alignment/>
      <protection/>
    </xf>
    <xf numFmtId="3" fontId="3" fillId="0" borderId="41" xfId="66" applyNumberFormat="1" applyBorder="1">
      <alignment/>
      <protection/>
    </xf>
    <xf numFmtId="3" fontId="18" fillId="0" borderId="37" xfId="66" applyNumberFormat="1" applyFont="1" applyBorder="1" applyAlignment="1" applyProtection="1" quotePrefix="1">
      <alignment horizontal="center"/>
      <protection/>
    </xf>
    <xf numFmtId="177" fontId="23" fillId="0" borderId="34" xfId="66" applyNumberFormat="1" applyFont="1" applyBorder="1" applyProtection="1">
      <alignment/>
      <protection/>
    </xf>
    <xf numFmtId="3" fontId="3" fillId="0" borderId="24" xfId="66" applyNumberFormat="1" applyBorder="1" applyProtection="1">
      <alignment/>
      <protection/>
    </xf>
    <xf numFmtId="3" fontId="39" fillId="0" borderId="0" xfId="66" applyNumberFormat="1" applyFont="1" applyAlignment="1" applyProtection="1">
      <alignment horizontal="left"/>
      <protection/>
    </xf>
    <xf numFmtId="3" fontId="39" fillId="0" borderId="26" xfId="66" applyNumberFormat="1" applyFont="1" applyBorder="1" applyProtection="1">
      <alignment/>
      <protection/>
    </xf>
    <xf numFmtId="3" fontId="40" fillId="0" borderId="26" xfId="66" applyNumberFormat="1" applyFont="1" applyBorder="1" applyProtection="1">
      <alignment/>
      <protection/>
    </xf>
    <xf numFmtId="3" fontId="41" fillId="0" borderId="0" xfId="66" applyNumberFormat="1" applyFont="1" applyAlignment="1" applyProtection="1" quotePrefix="1">
      <alignment horizontal="right"/>
      <protection/>
    </xf>
    <xf numFmtId="3" fontId="39" fillId="0" borderId="0" xfId="66" applyNumberFormat="1" applyFont="1" applyAlignment="1" applyProtection="1">
      <alignment horizontal="left" indent="2"/>
      <protection/>
    </xf>
    <xf numFmtId="3" fontId="40" fillId="0" borderId="0" xfId="66" applyNumberFormat="1" applyFont="1" applyProtection="1">
      <alignment/>
      <protection/>
    </xf>
    <xf numFmtId="3" fontId="39" fillId="0" borderId="0" xfId="66" applyNumberFormat="1" applyFont="1" applyProtection="1">
      <alignment/>
      <protection/>
    </xf>
    <xf numFmtId="3" fontId="24" fillId="0" borderId="0" xfId="66" applyNumberFormat="1" applyFont="1">
      <alignment/>
      <protection/>
    </xf>
    <xf numFmtId="3" fontId="22" fillId="0" borderId="28" xfId="66" applyNumberFormat="1" applyFont="1" applyBorder="1" applyAlignment="1" applyProtection="1">
      <alignment horizontal="left"/>
      <protection/>
    </xf>
    <xf numFmtId="3" fontId="22" fillId="0" borderId="27" xfId="66" applyNumberFormat="1" applyFont="1" applyBorder="1" applyAlignment="1" applyProtection="1">
      <alignment horizontal="left"/>
      <protection/>
    </xf>
    <xf numFmtId="3" fontId="23" fillId="0" borderId="0" xfId="66" applyNumberFormat="1" applyFont="1" applyProtection="1">
      <alignment/>
      <protection/>
    </xf>
    <xf numFmtId="3" fontId="39" fillId="0" borderId="0" xfId="66" applyNumberFormat="1" applyFont="1" applyBorder="1" applyAlignment="1" applyProtection="1">
      <alignment horizontal="left" indent="2"/>
      <protection/>
    </xf>
    <xf numFmtId="3" fontId="27" fillId="0" borderId="0" xfId="66" applyNumberFormat="1" applyFont="1" applyProtection="1">
      <alignment/>
      <protection/>
    </xf>
    <xf numFmtId="3" fontId="24" fillId="0" borderId="32" xfId="66" applyNumberFormat="1" applyFont="1" applyBorder="1">
      <alignment/>
      <protection/>
    </xf>
    <xf numFmtId="3" fontId="42" fillId="0" borderId="0" xfId="66" applyNumberFormat="1" applyFont="1" applyProtection="1">
      <alignment/>
      <protection/>
    </xf>
    <xf numFmtId="3" fontId="43" fillId="0" borderId="0" xfId="66" applyNumberFormat="1" applyFont="1" applyAlignment="1" applyProtection="1">
      <alignment horizontal="left"/>
      <protection/>
    </xf>
    <xf numFmtId="3" fontId="18" fillId="0" borderId="0" xfId="66" applyNumberFormat="1" applyFont="1" applyProtection="1">
      <alignment/>
      <protection/>
    </xf>
    <xf numFmtId="3" fontId="18" fillId="0" borderId="0" xfId="66" applyNumberFormat="1" applyFont="1" applyBorder="1" applyAlignment="1" applyProtection="1">
      <alignment horizontal="left"/>
      <protection/>
    </xf>
    <xf numFmtId="3" fontId="18" fillId="0" borderId="0" xfId="66" applyNumberFormat="1" applyFont="1" applyBorder="1" applyProtection="1">
      <alignment/>
      <protection/>
    </xf>
    <xf numFmtId="3" fontId="3" fillId="0" borderId="25" xfId="66" applyNumberFormat="1" applyBorder="1" applyProtection="1">
      <alignment/>
      <protection/>
    </xf>
    <xf numFmtId="3" fontId="18" fillId="0" borderId="25" xfId="66" applyNumberFormat="1" applyFont="1" applyBorder="1" applyProtection="1">
      <alignment/>
      <protection/>
    </xf>
    <xf numFmtId="3" fontId="3" fillId="0" borderId="23" xfId="66" applyNumberFormat="1" applyBorder="1" applyProtection="1">
      <alignment/>
      <protection/>
    </xf>
    <xf numFmtId="3" fontId="18" fillId="0" borderId="23" xfId="66" applyNumberFormat="1" applyFont="1" applyBorder="1" applyProtection="1">
      <alignment/>
      <protection/>
    </xf>
    <xf numFmtId="3" fontId="3" fillId="0" borderId="30" xfId="66" applyNumberFormat="1" applyBorder="1" applyProtection="1">
      <alignment/>
      <protection/>
    </xf>
    <xf numFmtId="3" fontId="22" fillId="0" borderId="42" xfId="66" applyNumberFormat="1" applyFont="1" applyBorder="1" applyProtection="1">
      <alignment/>
      <protection/>
    </xf>
    <xf numFmtId="3" fontId="22" fillId="0" borderId="26" xfId="66" applyNumberFormat="1" applyFont="1" applyBorder="1" applyProtection="1">
      <alignment/>
      <protection/>
    </xf>
    <xf numFmtId="3" fontId="3" fillId="0" borderId="43" xfId="66" applyNumberFormat="1" applyBorder="1" applyAlignment="1" applyProtection="1">
      <alignment horizontal="right"/>
      <protection/>
    </xf>
    <xf numFmtId="3" fontId="3" fillId="0" borderId="14" xfId="66" applyNumberFormat="1" applyBorder="1" applyAlignment="1" applyProtection="1">
      <alignment horizontal="right"/>
      <protection/>
    </xf>
    <xf numFmtId="3" fontId="3" fillId="0" borderId="11" xfId="66" applyNumberFormat="1" applyBorder="1" applyAlignment="1" applyProtection="1">
      <alignment horizontal="right"/>
      <protection/>
    </xf>
    <xf numFmtId="3" fontId="22" fillId="0" borderId="44" xfId="66" applyNumberFormat="1" applyFont="1" applyBorder="1" applyAlignment="1" applyProtection="1">
      <alignment horizontal="left" indent="1"/>
      <protection/>
    </xf>
    <xf numFmtId="3" fontId="22" fillId="0" borderId="42" xfId="66" applyNumberFormat="1" applyFont="1" applyBorder="1" applyAlignment="1" applyProtection="1">
      <alignment horizontal="left" indent="1"/>
      <protection/>
    </xf>
    <xf numFmtId="3" fontId="3" fillId="0" borderId="23" xfId="66" applyNumberFormat="1" applyBorder="1" applyAlignment="1" applyProtection="1">
      <alignment horizontal="left" indent="1"/>
      <protection/>
    </xf>
    <xf numFmtId="3" fontId="3" fillId="0" borderId="0" xfId="66" applyNumberFormat="1" applyAlignment="1" applyProtection="1">
      <alignment horizontal="left" indent="1"/>
      <protection/>
    </xf>
    <xf numFmtId="3" fontId="3" fillId="35" borderId="0" xfId="66" applyNumberFormat="1" applyFill="1" applyAlignment="1" applyProtection="1">
      <alignment horizontal="left" indent="1"/>
      <protection/>
    </xf>
    <xf numFmtId="3" fontId="3" fillId="35" borderId="0" xfId="66" applyNumberFormat="1" applyFill="1" applyProtection="1">
      <alignment/>
      <protection/>
    </xf>
    <xf numFmtId="3" fontId="41" fillId="0" borderId="0" xfId="66" applyNumberFormat="1" applyFont="1" applyAlignment="1" applyProtection="1">
      <alignment horizontal="left" indent="1"/>
      <protection/>
    </xf>
    <xf numFmtId="3" fontId="22" fillId="0" borderId="0" xfId="66" applyNumberFormat="1" applyFont="1" applyAlignment="1" applyProtection="1">
      <alignment horizontal="left" indent="1"/>
      <protection/>
    </xf>
    <xf numFmtId="3" fontId="22" fillId="0" borderId="0" xfId="66" applyNumberFormat="1" applyFont="1" applyAlignment="1" applyProtection="1" quotePrefix="1">
      <alignment horizontal="left" indent="1"/>
      <protection/>
    </xf>
    <xf numFmtId="3" fontId="22" fillId="0" borderId="0" xfId="66" applyNumberFormat="1" applyFont="1" applyBorder="1" applyAlignment="1" applyProtection="1" quotePrefix="1">
      <alignment horizontal="center"/>
      <protection/>
    </xf>
    <xf numFmtId="3" fontId="18" fillId="35" borderId="0" xfId="66" applyNumberFormat="1" applyFont="1" applyFill="1" applyProtection="1">
      <alignment/>
      <protection/>
    </xf>
    <xf numFmtId="3" fontId="22" fillId="0" borderId="0" xfId="66" applyNumberFormat="1" applyFont="1" applyFill="1" applyBorder="1" applyProtection="1">
      <alignment/>
      <protection locked="0"/>
    </xf>
    <xf numFmtId="3" fontId="3" fillId="0" borderId="45" xfId="66" applyNumberFormat="1" applyBorder="1" applyProtection="1">
      <alignment/>
      <protection/>
    </xf>
    <xf numFmtId="4" fontId="3" fillId="0" borderId="0" xfId="66" applyNumberFormat="1" applyFill="1" applyBorder="1" applyProtection="1">
      <alignment/>
      <protection/>
    </xf>
    <xf numFmtId="3" fontId="39" fillId="0" borderId="0" xfId="66" applyNumberFormat="1" applyFont="1" applyAlignment="1" applyProtection="1">
      <alignment horizontal="left" vertical="top"/>
      <protection/>
    </xf>
    <xf numFmtId="3" fontId="3" fillId="0" borderId="0" xfId="66" applyNumberFormat="1" applyFill="1" applyBorder="1" applyProtection="1">
      <alignment/>
      <protection/>
    </xf>
    <xf numFmtId="4" fontId="3" fillId="0" borderId="0" xfId="66" applyNumberFormat="1" applyProtection="1">
      <alignment/>
      <protection/>
    </xf>
    <xf numFmtId="3" fontId="39" fillId="0" borderId="25" xfId="66" applyNumberFormat="1" applyFont="1" applyBorder="1" applyAlignment="1" applyProtection="1">
      <alignment horizontal="left"/>
      <protection/>
    </xf>
    <xf numFmtId="3" fontId="41" fillId="0" borderId="25" xfId="66" applyNumberFormat="1" applyFont="1" applyBorder="1" applyAlignment="1" applyProtection="1" quotePrefix="1">
      <alignment horizontal="right"/>
      <protection/>
    </xf>
    <xf numFmtId="3" fontId="20" fillId="0" borderId="0" xfId="66" applyNumberFormat="1" applyFont="1" applyProtection="1">
      <alignment/>
      <protection/>
    </xf>
    <xf numFmtId="3" fontId="3" fillId="0" borderId="13" xfId="66" applyNumberFormat="1" applyBorder="1" applyProtection="1">
      <alignment/>
      <protection/>
    </xf>
    <xf numFmtId="3" fontId="3" fillId="0" borderId="27" xfId="66" applyNumberFormat="1" applyBorder="1" applyProtection="1">
      <alignment/>
      <protection/>
    </xf>
    <xf numFmtId="3" fontId="20" fillId="0" borderId="0" xfId="66" applyNumberFormat="1" applyFont="1" applyAlignment="1" applyProtection="1">
      <alignment horizontal="left"/>
      <protection/>
    </xf>
    <xf numFmtId="3" fontId="3" fillId="0" borderId="28" xfId="66" applyNumberFormat="1" applyBorder="1" applyProtection="1">
      <alignment/>
      <protection/>
    </xf>
    <xf numFmtId="3" fontId="27" fillId="0" borderId="0" xfId="66" applyNumberFormat="1" applyFont="1" applyAlignment="1" applyProtection="1">
      <alignment horizontal="left"/>
      <protection/>
    </xf>
    <xf numFmtId="176" fontId="25" fillId="35" borderId="28" xfId="66" applyNumberFormat="1" applyFont="1" applyFill="1" applyBorder="1" applyProtection="1">
      <alignment/>
      <protection/>
    </xf>
    <xf numFmtId="176" fontId="34" fillId="0" borderId="27" xfId="66" applyNumberFormat="1" applyFont="1" applyBorder="1" applyProtection="1">
      <alignment/>
      <protection/>
    </xf>
    <xf numFmtId="3" fontId="25" fillId="35" borderId="0" xfId="66" applyNumberFormat="1" applyFont="1" applyFill="1" applyProtection="1">
      <alignment/>
      <protection/>
    </xf>
    <xf numFmtId="3" fontId="3" fillId="0" borderId="29" xfId="66" applyNumberFormat="1" applyBorder="1" applyProtection="1">
      <alignment/>
      <protection/>
    </xf>
    <xf numFmtId="3" fontId="22" fillId="0" borderId="46" xfId="66" applyNumberFormat="1" applyFont="1" applyBorder="1" applyProtection="1">
      <alignment/>
      <protection/>
    </xf>
    <xf numFmtId="3" fontId="27" fillId="0" borderId="23" xfId="66" applyNumberFormat="1" applyFont="1" applyBorder="1" applyProtection="1">
      <alignment/>
      <protection/>
    </xf>
    <xf numFmtId="3" fontId="22" fillId="0" borderId="32" xfId="66" applyNumberFormat="1" applyFont="1" applyBorder="1" applyProtection="1">
      <alignment/>
      <protection/>
    </xf>
    <xf numFmtId="3" fontId="3" fillId="0" borderId="32" xfId="66" applyNumberFormat="1" applyBorder="1" applyProtection="1">
      <alignment/>
      <protection/>
    </xf>
    <xf numFmtId="3" fontId="32" fillId="35" borderId="29" xfId="66" applyNumberFormat="1" applyFont="1" applyFill="1" applyBorder="1" applyProtection="1">
      <alignment/>
      <protection/>
    </xf>
    <xf numFmtId="3" fontId="34" fillId="0" borderId="0" xfId="66" applyNumberFormat="1" applyFont="1" applyProtection="1">
      <alignment/>
      <protection/>
    </xf>
    <xf numFmtId="3" fontId="31" fillId="35" borderId="32" xfId="66" applyNumberFormat="1" applyFont="1" applyFill="1" applyBorder="1" applyProtection="1">
      <alignment/>
      <protection/>
    </xf>
    <xf numFmtId="3" fontId="45" fillId="0" borderId="0" xfId="66" applyNumberFormat="1" applyFont="1" applyProtection="1">
      <alignment/>
      <protection/>
    </xf>
    <xf numFmtId="3" fontId="23" fillId="0" borderId="0" xfId="66" applyNumberFormat="1" applyFont="1">
      <alignment/>
      <protection/>
    </xf>
    <xf numFmtId="178" fontId="23" fillId="0" borderId="0" xfId="66" applyNumberFormat="1" applyFont="1">
      <alignment/>
      <protection/>
    </xf>
    <xf numFmtId="14" fontId="23" fillId="0" borderId="0" xfId="66" applyNumberFormat="1" applyFont="1">
      <alignment/>
      <protection/>
    </xf>
    <xf numFmtId="3" fontId="23" fillId="0" borderId="24" xfId="66" applyNumberFormat="1" applyFont="1" applyBorder="1" applyAlignment="1">
      <alignment horizontal="right"/>
      <protection/>
    </xf>
    <xf numFmtId="3" fontId="23" fillId="0" borderId="24" xfId="66" applyNumberFormat="1" applyFont="1" applyBorder="1">
      <alignment/>
      <protection/>
    </xf>
    <xf numFmtId="3" fontId="23" fillId="0" borderId="0" xfId="66" applyNumberFormat="1" applyFont="1" quotePrefix="1">
      <alignment/>
      <protection/>
    </xf>
    <xf numFmtId="4" fontId="23" fillId="0" borderId="0" xfId="66" applyNumberFormat="1" applyFont="1">
      <alignment/>
      <protection/>
    </xf>
    <xf numFmtId="5" fontId="23" fillId="0" borderId="0" xfId="66" applyNumberFormat="1" applyFont="1">
      <alignment/>
      <protection/>
    </xf>
    <xf numFmtId="167" fontId="47" fillId="0" borderId="0" xfId="66" applyFont="1">
      <alignment/>
      <protection/>
    </xf>
    <xf numFmtId="167" fontId="48" fillId="0" borderId="0" xfId="66" applyFont="1">
      <alignment/>
      <protection/>
    </xf>
    <xf numFmtId="167" fontId="48" fillId="0" borderId="12" xfId="66" applyFont="1" applyBorder="1">
      <alignment/>
      <protection/>
    </xf>
    <xf numFmtId="167" fontId="47" fillId="0" borderId="25" xfId="66" applyFont="1" applyBorder="1" applyAlignment="1">
      <alignment horizontal="center"/>
      <protection/>
    </xf>
    <xf numFmtId="167" fontId="47" fillId="0" borderId="47" xfId="66" applyFont="1" applyBorder="1" applyAlignment="1">
      <alignment horizontal="center"/>
      <protection/>
    </xf>
    <xf numFmtId="167" fontId="48" fillId="0" borderId="27" xfId="66" applyFont="1" applyBorder="1">
      <alignment/>
      <protection/>
    </xf>
    <xf numFmtId="177" fontId="48" fillId="0" borderId="0" xfId="42" applyNumberFormat="1" applyFont="1" applyBorder="1" applyAlignment="1">
      <alignment/>
    </xf>
    <xf numFmtId="177" fontId="48" fillId="0" borderId="32" xfId="42" applyNumberFormat="1" applyFont="1" applyBorder="1" applyAlignment="1">
      <alignment/>
    </xf>
    <xf numFmtId="167" fontId="48" fillId="0" borderId="14" xfId="66" applyFont="1" applyBorder="1">
      <alignment/>
      <protection/>
    </xf>
    <xf numFmtId="167" fontId="48" fillId="0" borderId="24" xfId="66" applyFont="1" applyBorder="1">
      <alignment/>
      <protection/>
    </xf>
    <xf numFmtId="167" fontId="48" fillId="0" borderId="33" xfId="66" applyFont="1" applyBorder="1">
      <alignment/>
      <protection/>
    </xf>
    <xf numFmtId="167" fontId="47" fillId="0" borderId="0" xfId="66" applyFont="1" applyBorder="1">
      <alignment/>
      <protection/>
    </xf>
    <xf numFmtId="167" fontId="48" fillId="0" borderId="0" xfId="66" applyFont="1" applyBorder="1">
      <alignment/>
      <protection/>
    </xf>
    <xf numFmtId="167" fontId="47" fillId="0" borderId="12" xfId="66" applyFont="1" applyBorder="1">
      <alignment/>
      <protection/>
    </xf>
    <xf numFmtId="167" fontId="48" fillId="0" borderId="25" xfId="66" applyFont="1" applyBorder="1">
      <alignment/>
      <protection/>
    </xf>
    <xf numFmtId="167" fontId="47" fillId="0" borderId="25" xfId="66" applyFont="1" applyBorder="1">
      <alignment/>
      <protection/>
    </xf>
    <xf numFmtId="167" fontId="48" fillId="0" borderId="47" xfId="66" applyFont="1" applyBorder="1">
      <alignment/>
      <protection/>
    </xf>
    <xf numFmtId="167" fontId="47" fillId="0" borderId="27" xfId="66" applyFont="1" applyBorder="1">
      <alignment/>
      <protection/>
    </xf>
    <xf numFmtId="173" fontId="48" fillId="0" borderId="0" xfId="42" applyNumberFormat="1" applyFont="1" applyBorder="1" applyAlignment="1">
      <alignment/>
    </xf>
    <xf numFmtId="173" fontId="48" fillId="0" borderId="32" xfId="42" applyNumberFormat="1" applyFont="1" applyBorder="1" applyAlignment="1">
      <alignment/>
    </xf>
    <xf numFmtId="167" fontId="48" fillId="0" borderId="32" xfId="66" applyFont="1" applyBorder="1">
      <alignment/>
      <protection/>
    </xf>
    <xf numFmtId="177" fontId="48" fillId="0" borderId="0" xfId="66" applyNumberFormat="1" applyFont="1" applyBorder="1">
      <alignment/>
      <protection/>
    </xf>
    <xf numFmtId="177" fontId="48" fillId="0" borderId="32" xfId="66" applyNumberFormat="1" applyFont="1" applyBorder="1">
      <alignment/>
      <protection/>
    </xf>
    <xf numFmtId="167" fontId="48" fillId="0" borderId="14" xfId="66" applyFont="1" applyBorder="1" quotePrefix="1">
      <alignment/>
      <protection/>
    </xf>
    <xf numFmtId="10" fontId="48" fillId="0" borderId="24" xfId="71" applyNumberFormat="1" applyFont="1" applyBorder="1" applyAlignment="1">
      <alignment/>
    </xf>
    <xf numFmtId="10" fontId="48" fillId="0" borderId="33" xfId="71" applyNumberFormat="1" applyFont="1" applyBorder="1" applyAlignment="1">
      <alignment/>
    </xf>
    <xf numFmtId="167" fontId="10" fillId="0" borderId="12" xfId="66" applyFont="1" applyBorder="1">
      <alignment/>
      <protection/>
    </xf>
    <xf numFmtId="167" fontId="12" fillId="0" borderId="25" xfId="66" applyFont="1" applyBorder="1" applyAlignment="1">
      <alignment horizontal="center"/>
      <protection/>
    </xf>
    <xf numFmtId="167" fontId="12" fillId="0" borderId="25" xfId="66" applyFont="1" applyBorder="1">
      <alignment/>
      <protection/>
    </xf>
    <xf numFmtId="167" fontId="10" fillId="0" borderId="25" xfId="66" applyFont="1" applyBorder="1">
      <alignment/>
      <protection/>
    </xf>
    <xf numFmtId="167" fontId="11" fillId="0" borderId="47" xfId="66" applyFont="1" applyBorder="1">
      <alignment/>
      <protection/>
    </xf>
    <xf numFmtId="167" fontId="49" fillId="0" borderId="27" xfId="66" applyFont="1" applyBorder="1">
      <alignment/>
      <protection/>
    </xf>
    <xf numFmtId="173" fontId="48" fillId="33" borderId="0" xfId="42" applyNumberFormat="1" applyFont="1" applyFill="1" applyBorder="1" applyAlignment="1" applyProtection="1">
      <alignment/>
      <protection locked="0"/>
    </xf>
    <xf numFmtId="43" fontId="49" fillId="0" borderId="0" xfId="42" applyFont="1" applyAlignment="1">
      <alignment/>
    </xf>
    <xf numFmtId="167" fontId="12" fillId="0" borderId="0" xfId="66" applyFont="1" applyAlignment="1">
      <alignment horizontal="centerContinuous"/>
      <protection/>
    </xf>
    <xf numFmtId="173" fontId="10" fillId="0" borderId="0" xfId="42" applyNumberFormat="1" applyFont="1" applyAlignment="1">
      <alignment/>
    </xf>
    <xf numFmtId="167" fontId="12" fillId="0" borderId="0" xfId="66" applyFont="1">
      <alignment/>
      <protection/>
    </xf>
    <xf numFmtId="170" fontId="12" fillId="0" borderId="0" xfId="45" applyNumberFormat="1" applyFont="1" applyAlignment="1">
      <alignment/>
    </xf>
    <xf numFmtId="43" fontId="10" fillId="0" borderId="0" xfId="42" applyFont="1" applyAlignment="1" applyProtection="1">
      <alignment/>
      <protection/>
    </xf>
    <xf numFmtId="167" fontId="10" fillId="0" borderId="0" xfId="66" applyFont="1" applyBorder="1" applyAlignment="1">
      <alignment horizontal="center"/>
      <protection/>
    </xf>
    <xf numFmtId="170" fontId="10" fillId="0" borderId="0" xfId="45" applyNumberFormat="1" applyFont="1" applyBorder="1" applyAlignment="1">
      <alignment/>
    </xf>
    <xf numFmtId="167" fontId="50" fillId="0" borderId="0" xfId="66" applyFont="1">
      <alignment/>
      <protection/>
    </xf>
    <xf numFmtId="167" fontId="13" fillId="0" borderId="0" xfId="66" applyFont="1">
      <alignment/>
      <protection/>
    </xf>
    <xf numFmtId="9" fontId="10" fillId="0" borderId="0" xfId="71" applyFont="1" applyAlignment="1">
      <alignment/>
    </xf>
    <xf numFmtId="167" fontId="51" fillId="0" borderId="0" xfId="66" applyFont="1">
      <alignment/>
      <protection/>
    </xf>
    <xf numFmtId="170" fontId="10" fillId="0" borderId="0" xfId="45" applyNumberFormat="1" applyFont="1" applyAlignment="1">
      <alignment/>
    </xf>
    <xf numFmtId="3" fontId="22" fillId="0" borderId="0" xfId="66" applyNumberFormat="1" applyFont="1" applyBorder="1" applyAlignment="1" applyProtection="1">
      <alignment horizontal="left" vertical="top"/>
      <protection/>
    </xf>
    <xf numFmtId="2" fontId="53" fillId="0" borderId="10" xfId="66" applyNumberFormat="1" applyFont="1" applyBorder="1">
      <alignment/>
      <protection/>
    </xf>
    <xf numFmtId="2" fontId="54" fillId="0" borderId="10" xfId="66" applyNumberFormat="1" applyFont="1" applyBorder="1">
      <alignment/>
      <protection/>
    </xf>
    <xf numFmtId="3" fontId="54" fillId="0" borderId="10" xfId="66" applyNumberFormat="1" applyFont="1" applyBorder="1">
      <alignment/>
      <protection/>
    </xf>
    <xf numFmtId="2" fontId="24" fillId="0" borderId="47" xfId="66" applyNumberFormat="1" applyFont="1" applyBorder="1">
      <alignment/>
      <protection/>
    </xf>
    <xf numFmtId="2" fontId="24" fillId="0" borderId="32" xfId="66" applyNumberFormat="1" applyFont="1" applyBorder="1">
      <alignment/>
      <protection/>
    </xf>
    <xf numFmtId="3" fontId="55" fillId="0" borderId="0" xfId="66" applyNumberFormat="1" applyFont="1" applyBorder="1">
      <alignment/>
      <protection/>
    </xf>
    <xf numFmtId="3" fontId="55" fillId="0" borderId="0" xfId="66" applyNumberFormat="1" applyFont="1" applyBorder="1" applyAlignment="1">
      <alignment horizontal="right"/>
      <protection/>
    </xf>
    <xf numFmtId="2" fontId="53" fillId="0" borderId="32" xfId="66" applyNumberFormat="1" applyFont="1" applyBorder="1" applyProtection="1">
      <alignment/>
      <protection locked="0"/>
    </xf>
    <xf numFmtId="167" fontId="57" fillId="0" borderId="0" xfId="67" applyFont="1" applyFill="1" applyBorder="1" applyAlignment="1" applyProtection="1">
      <alignment/>
      <protection/>
    </xf>
    <xf numFmtId="176" fontId="58" fillId="0" borderId="0" xfId="67" applyNumberFormat="1" applyFont="1" applyFill="1" applyBorder="1" applyProtection="1" quotePrefix="1">
      <alignment/>
      <protection/>
    </xf>
    <xf numFmtId="167" fontId="57" fillId="0" borderId="0" xfId="67" applyFont="1" applyFill="1" applyBorder="1" applyProtection="1">
      <alignment/>
      <protection/>
    </xf>
    <xf numFmtId="208" fontId="59" fillId="0" borderId="0" xfId="67" applyNumberFormat="1" applyFont="1" applyFill="1" applyBorder="1" applyAlignment="1" applyProtection="1">
      <alignment horizontal="center" vertical="center"/>
      <protection/>
    </xf>
    <xf numFmtId="182" fontId="57" fillId="0" borderId="0" xfId="67" applyNumberFormat="1" applyFont="1" applyFill="1" applyBorder="1" applyProtection="1">
      <alignment/>
      <protection/>
    </xf>
    <xf numFmtId="167" fontId="57" fillId="0" borderId="24" xfId="67" applyFont="1" applyFill="1" applyBorder="1" applyAlignment="1" applyProtection="1">
      <alignment/>
      <protection/>
    </xf>
    <xf numFmtId="167" fontId="57" fillId="0" borderId="27" xfId="67" applyFont="1" applyFill="1" applyBorder="1" applyAlignment="1" applyProtection="1">
      <alignment horizontal="centerContinuous"/>
      <protection/>
    </xf>
    <xf numFmtId="167" fontId="57" fillId="0" borderId="25" xfId="67" applyFont="1" applyFill="1" applyBorder="1" applyAlignment="1" applyProtection="1">
      <alignment horizontal="centerContinuous"/>
      <protection/>
    </xf>
    <xf numFmtId="176" fontId="58" fillId="0" borderId="25" xfId="67" applyNumberFormat="1" applyFont="1" applyFill="1" applyBorder="1" applyAlignment="1" applyProtection="1" quotePrefix="1">
      <alignment horizontal="centerContinuous"/>
      <protection/>
    </xf>
    <xf numFmtId="167" fontId="57" fillId="0" borderId="47" xfId="67" applyFont="1" applyFill="1" applyBorder="1" applyAlignment="1" applyProtection="1">
      <alignment horizontal="centerContinuous"/>
      <protection/>
    </xf>
    <xf numFmtId="167" fontId="57" fillId="0" borderId="48" xfId="67" applyFont="1" applyFill="1" applyBorder="1" applyAlignment="1" applyProtection="1">
      <alignment vertical="top"/>
      <protection/>
    </xf>
    <xf numFmtId="167" fontId="57" fillId="0" borderId="33" xfId="67" applyFont="1" applyFill="1" applyBorder="1" applyAlignment="1" applyProtection="1">
      <alignment vertical="top"/>
      <protection/>
    </xf>
    <xf numFmtId="167" fontId="57" fillId="0" borderId="27" xfId="67" applyFont="1" applyFill="1" applyBorder="1" applyAlignment="1" applyProtection="1">
      <alignment horizontal="centerContinuous" vertical="top"/>
      <protection/>
    </xf>
    <xf numFmtId="167" fontId="57" fillId="0" borderId="0" xfId="67" applyFont="1" applyFill="1" applyBorder="1" applyAlignment="1" applyProtection="1">
      <alignment horizontal="centerContinuous" vertical="top"/>
      <protection/>
    </xf>
    <xf numFmtId="176" fontId="58" fillId="0" borderId="0" xfId="67" applyNumberFormat="1" applyFont="1" applyFill="1" applyBorder="1" applyAlignment="1" applyProtection="1" quotePrefix="1">
      <alignment horizontal="centerContinuous" vertical="top"/>
      <protection/>
    </xf>
    <xf numFmtId="167" fontId="57" fillId="0" borderId="32" xfId="67" applyFont="1" applyFill="1" applyBorder="1" applyAlignment="1" applyProtection="1">
      <alignment horizontal="centerContinuous" vertical="top"/>
      <protection/>
    </xf>
    <xf numFmtId="167" fontId="57" fillId="0" borderId="12" xfId="67" applyFont="1" applyFill="1" applyBorder="1" applyAlignment="1" applyProtection="1">
      <alignment horizontal="left" vertical="center"/>
      <protection/>
    </xf>
    <xf numFmtId="167" fontId="57" fillId="0" borderId="47" xfId="67" applyFont="1" applyFill="1" applyBorder="1" applyAlignment="1" applyProtection="1">
      <alignment vertical="center"/>
      <protection/>
    </xf>
    <xf numFmtId="167" fontId="57" fillId="0" borderId="49" xfId="67" applyFont="1" applyFill="1" applyBorder="1" applyAlignment="1" applyProtection="1">
      <alignment vertical="center"/>
      <protection/>
    </xf>
    <xf numFmtId="167" fontId="57" fillId="0" borderId="48" xfId="67" applyFont="1" applyFill="1" applyBorder="1" applyProtection="1">
      <alignment/>
      <protection/>
    </xf>
    <xf numFmtId="167" fontId="57" fillId="0" borderId="50" xfId="67" applyFont="1" applyFill="1" applyBorder="1" applyAlignment="1" applyProtection="1">
      <alignment vertical="center"/>
      <protection/>
    </xf>
    <xf numFmtId="167" fontId="57" fillId="0" borderId="48" xfId="67" applyFont="1" applyFill="1" applyBorder="1" applyAlignment="1" applyProtection="1">
      <alignment vertical="center"/>
      <protection/>
    </xf>
    <xf numFmtId="167" fontId="63" fillId="0" borderId="27" xfId="67" applyFont="1" applyFill="1" applyBorder="1" applyAlignment="1" applyProtection="1">
      <alignment horizontal="centerContinuous" vertical="center"/>
      <protection/>
    </xf>
    <xf numFmtId="167" fontId="57" fillId="0" borderId="0" xfId="67" applyFont="1" applyFill="1" applyBorder="1" applyAlignment="1" applyProtection="1">
      <alignment horizontal="centerContinuous" vertical="center"/>
      <protection/>
    </xf>
    <xf numFmtId="167" fontId="57" fillId="0" borderId="32" xfId="67" applyFont="1" applyFill="1" applyBorder="1" applyAlignment="1" applyProtection="1">
      <alignment horizontal="centerContinuous" vertical="center"/>
      <protection/>
    </xf>
    <xf numFmtId="167" fontId="57" fillId="0" borderId="49" xfId="67" applyFont="1" applyFill="1" applyBorder="1" applyAlignment="1" applyProtection="1">
      <alignment horizontal="left" vertical="center"/>
      <protection/>
    </xf>
    <xf numFmtId="167" fontId="57" fillId="0" borderId="24" xfId="67" applyFont="1" applyFill="1" applyBorder="1" applyAlignment="1" applyProtection="1">
      <alignment vertical="center"/>
      <protection/>
    </xf>
    <xf numFmtId="167" fontId="57" fillId="0" borderId="33" xfId="67" applyFont="1" applyFill="1" applyBorder="1" applyAlignment="1" applyProtection="1">
      <alignment vertical="center"/>
      <protection/>
    </xf>
    <xf numFmtId="167" fontId="57" fillId="0" borderId="0" xfId="67" applyFont="1" applyFill="1" applyBorder="1" applyAlignment="1" applyProtection="1">
      <alignment horizontal="centerContinuous"/>
      <protection/>
    </xf>
    <xf numFmtId="167" fontId="57" fillId="0" borderId="32" xfId="67" applyFont="1" applyFill="1" applyBorder="1" applyAlignment="1" applyProtection="1">
      <alignment horizontal="centerContinuous"/>
      <protection/>
    </xf>
    <xf numFmtId="167" fontId="57" fillId="0" borderId="25" xfId="67" applyFont="1" applyFill="1" applyBorder="1" applyAlignment="1" applyProtection="1">
      <alignment vertical="center"/>
      <protection/>
    </xf>
    <xf numFmtId="167" fontId="57" fillId="0" borderId="0" xfId="67" applyFont="1" applyFill="1" applyBorder="1" applyAlignment="1" applyProtection="1">
      <alignment vertical="center"/>
      <protection/>
    </xf>
    <xf numFmtId="167" fontId="57" fillId="0" borderId="12" xfId="67" applyFont="1" applyFill="1" applyBorder="1" applyAlignment="1" applyProtection="1">
      <alignment vertical="center"/>
      <protection/>
    </xf>
    <xf numFmtId="167" fontId="57" fillId="0" borderId="14" xfId="67" applyFont="1" applyFill="1" applyBorder="1" applyAlignment="1" applyProtection="1">
      <alignment vertical="center"/>
      <protection/>
    </xf>
    <xf numFmtId="167" fontId="57" fillId="0" borderId="12" xfId="67" applyFont="1" applyFill="1" applyBorder="1" applyAlignment="1" applyProtection="1">
      <alignment vertical="top"/>
      <protection/>
    </xf>
    <xf numFmtId="167" fontId="57" fillId="0" borderId="25" xfId="67" applyFont="1" applyFill="1" applyBorder="1" applyAlignment="1" applyProtection="1">
      <alignment vertical="top"/>
      <protection/>
    </xf>
    <xf numFmtId="167" fontId="58" fillId="0" borderId="25" xfId="67" applyFont="1" applyFill="1" applyBorder="1" applyAlignment="1" applyProtection="1">
      <alignment vertical="top"/>
      <protection/>
    </xf>
    <xf numFmtId="167" fontId="57" fillId="0" borderId="47" xfId="67" applyFont="1" applyFill="1" applyBorder="1" applyAlignment="1" applyProtection="1">
      <alignment vertical="top"/>
      <protection/>
    </xf>
    <xf numFmtId="167" fontId="50" fillId="0" borderId="14" xfId="67" applyFont="1" applyFill="1" applyBorder="1" applyAlignment="1" applyProtection="1">
      <alignment horizontal="left" vertical="center"/>
      <protection/>
    </xf>
    <xf numFmtId="167" fontId="65" fillId="0" borderId="24" xfId="67" applyFont="1" applyFill="1" applyBorder="1" applyAlignment="1" applyProtection="1">
      <alignment vertical="center"/>
      <protection/>
    </xf>
    <xf numFmtId="167" fontId="65" fillId="0" borderId="24" xfId="67" applyFont="1" applyFill="1" applyBorder="1" applyAlignment="1" applyProtection="1">
      <alignment horizontal="left" vertical="center"/>
      <protection/>
    </xf>
    <xf numFmtId="167" fontId="65" fillId="0" borderId="33" xfId="67" applyFont="1" applyFill="1" applyBorder="1" applyAlignment="1" applyProtection="1">
      <alignment vertical="center"/>
      <protection/>
    </xf>
    <xf numFmtId="167" fontId="57" fillId="0" borderId="25" xfId="67" applyFont="1" applyFill="1" applyBorder="1" applyProtection="1">
      <alignment/>
      <protection/>
    </xf>
    <xf numFmtId="167" fontId="58" fillId="0" borderId="25" xfId="67" applyFont="1" applyFill="1" applyBorder="1" applyAlignment="1" applyProtection="1">
      <alignment/>
      <protection/>
    </xf>
    <xf numFmtId="167" fontId="58" fillId="0" borderId="25" xfId="67" applyFont="1" applyFill="1" applyBorder="1" applyProtection="1">
      <alignment/>
      <protection/>
    </xf>
    <xf numFmtId="167" fontId="51" fillId="0" borderId="25" xfId="67" applyFont="1" applyFill="1" applyBorder="1" applyAlignment="1" applyProtection="1">
      <alignment horizontal="right" vertical="center"/>
      <protection/>
    </xf>
    <xf numFmtId="167" fontId="57" fillId="0" borderId="14" xfId="67" applyFont="1" applyFill="1" applyBorder="1" applyAlignment="1" applyProtection="1">
      <alignment/>
      <protection/>
    </xf>
    <xf numFmtId="167" fontId="62" fillId="0" borderId="24" xfId="67" applyFont="1" applyFill="1" applyBorder="1" applyProtection="1">
      <alignment/>
      <protection/>
    </xf>
    <xf numFmtId="167" fontId="49" fillId="0" borderId="24" xfId="67" applyFont="1" applyFill="1" applyBorder="1" applyAlignment="1" applyProtection="1">
      <alignment vertical="center"/>
      <protection/>
    </xf>
    <xf numFmtId="167" fontId="57" fillId="0" borderId="24" xfId="67" applyFont="1" applyFill="1" applyBorder="1" applyAlignment="1" applyProtection="1">
      <alignment horizontal="right"/>
      <protection/>
    </xf>
    <xf numFmtId="167" fontId="49" fillId="0" borderId="33" xfId="67" applyFont="1" applyFill="1" applyBorder="1" applyAlignment="1" applyProtection="1">
      <alignment vertical="center"/>
      <protection/>
    </xf>
    <xf numFmtId="167" fontId="63" fillId="0" borderId="49" xfId="67" applyFont="1" applyFill="1" applyBorder="1" applyAlignment="1" applyProtection="1">
      <alignment horizontal="left" vertical="center"/>
      <protection/>
    </xf>
    <xf numFmtId="167" fontId="57" fillId="0" borderId="48" xfId="67" applyFont="1" applyFill="1" applyBorder="1" applyAlignment="1" applyProtection="1">
      <alignment horizontal="centerContinuous" vertical="center"/>
      <protection/>
    </xf>
    <xf numFmtId="167" fontId="66" fillId="0" borderId="48" xfId="67" applyFont="1" applyFill="1" applyBorder="1" applyAlignment="1" applyProtection="1">
      <alignment horizontal="centerContinuous" vertical="center"/>
      <protection/>
    </xf>
    <xf numFmtId="167" fontId="58" fillId="0" borderId="48" xfId="67" applyFont="1" applyFill="1" applyBorder="1" applyAlignment="1" applyProtection="1">
      <alignment horizontal="centerContinuous" vertical="center"/>
      <protection/>
    </xf>
    <xf numFmtId="167" fontId="57" fillId="0" borderId="48" xfId="67" applyFont="1" applyFill="1" applyBorder="1" applyAlignment="1" applyProtection="1">
      <alignment horizontal="left" vertical="center"/>
      <protection/>
    </xf>
    <xf numFmtId="167" fontId="57" fillId="0" borderId="48" xfId="67" applyFont="1" applyFill="1" applyBorder="1" applyAlignment="1" applyProtection="1">
      <alignment horizontal="right" vertical="center"/>
      <protection/>
    </xf>
    <xf numFmtId="167" fontId="57" fillId="0" borderId="50" xfId="67" applyFont="1" applyFill="1" applyBorder="1" applyAlignment="1" applyProtection="1">
      <alignment horizontal="centerContinuous" vertical="center"/>
      <protection/>
    </xf>
    <xf numFmtId="167" fontId="57" fillId="0" borderId="12" xfId="67" applyFont="1" applyFill="1" applyBorder="1" applyAlignment="1" applyProtection="1">
      <alignment horizontal="left" vertical="top"/>
      <protection/>
    </xf>
    <xf numFmtId="167" fontId="50" fillId="0" borderId="33" xfId="67" applyFont="1" applyFill="1" applyBorder="1" applyAlignment="1" applyProtection="1">
      <alignment vertical="center"/>
      <protection/>
    </xf>
    <xf numFmtId="167" fontId="57" fillId="0" borderId="25" xfId="67" applyFont="1" applyFill="1" applyBorder="1" applyAlignment="1" applyProtection="1">
      <alignment horizontal="left" vertical="top"/>
      <protection/>
    </xf>
    <xf numFmtId="167" fontId="67" fillId="0" borderId="0" xfId="67" applyFont="1" applyFill="1" applyBorder="1" applyAlignment="1" applyProtection="1">
      <alignment vertical="center"/>
      <protection/>
    </xf>
    <xf numFmtId="167" fontId="67" fillId="0" borderId="32" xfId="67" applyFont="1" applyFill="1" applyBorder="1" applyAlignment="1" applyProtection="1">
      <alignment vertical="center"/>
      <protection/>
    </xf>
    <xf numFmtId="167" fontId="66" fillId="0" borderId="25" xfId="67" applyFont="1" applyFill="1" applyBorder="1" applyAlignment="1" applyProtection="1">
      <alignment vertical="top"/>
      <protection/>
    </xf>
    <xf numFmtId="167" fontId="66" fillId="0" borderId="47" xfId="67" applyFont="1" applyFill="1" applyBorder="1" applyAlignment="1" applyProtection="1">
      <alignment vertical="top"/>
      <protection/>
    </xf>
    <xf numFmtId="167" fontId="57" fillId="0" borderId="0" xfId="67" applyFont="1" applyFill="1" applyBorder="1" applyAlignment="1" applyProtection="1">
      <alignment horizontal="left"/>
      <protection/>
    </xf>
    <xf numFmtId="167" fontId="57" fillId="0" borderId="27" xfId="67" applyFont="1" applyFill="1" applyBorder="1" applyAlignment="1" applyProtection="1">
      <alignment vertical="center"/>
      <protection/>
    </xf>
    <xf numFmtId="167" fontId="68" fillId="0" borderId="0" xfId="67" applyFont="1" applyFill="1" applyBorder="1" applyAlignment="1" applyProtection="1">
      <alignment vertical="center"/>
      <protection/>
    </xf>
    <xf numFmtId="167" fontId="65" fillId="0" borderId="0" xfId="67" applyFont="1" applyFill="1" applyBorder="1" applyAlignment="1" applyProtection="1">
      <alignment vertical="center"/>
      <protection/>
    </xf>
    <xf numFmtId="167" fontId="57" fillId="0" borderId="27" xfId="67" applyFont="1" applyFill="1" applyBorder="1" applyAlignment="1" applyProtection="1">
      <alignment horizontal="left"/>
      <protection/>
    </xf>
    <xf numFmtId="167" fontId="60" fillId="0" borderId="0" xfId="67" applyFont="1" applyFill="1" applyBorder="1" applyAlignment="1" applyProtection="1">
      <alignment horizontal="left"/>
      <protection/>
    </xf>
    <xf numFmtId="167" fontId="62" fillId="0" borderId="0" xfId="67" applyFont="1" applyFill="1" applyBorder="1" applyProtection="1">
      <alignment/>
      <protection/>
    </xf>
    <xf numFmtId="167" fontId="69" fillId="0" borderId="0" xfId="67" applyFont="1" applyFill="1" applyBorder="1" applyProtection="1">
      <alignment/>
      <protection/>
    </xf>
    <xf numFmtId="167" fontId="69" fillId="0" borderId="0" xfId="67" applyFont="1" applyFill="1" applyBorder="1" applyAlignment="1" applyProtection="1">
      <alignment/>
      <protection/>
    </xf>
    <xf numFmtId="167" fontId="57" fillId="0" borderId="12" xfId="67" applyFont="1" applyFill="1" applyBorder="1" applyAlignment="1" applyProtection="1">
      <alignment horizontal="left"/>
      <protection/>
    </xf>
    <xf numFmtId="167" fontId="57" fillId="0" borderId="25" xfId="67" applyFont="1" applyFill="1" applyBorder="1" applyAlignment="1" applyProtection="1">
      <alignment horizontal="left"/>
      <protection/>
    </xf>
    <xf numFmtId="167" fontId="70" fillId="0" borderId="47" xfId="67" applyFont="1" applyFill="1" applyBorder="1" applyAlignment="1" applyProtection="1">
      <alignment/>
      <protection/>
    </xf>
    <xf numFmtId="167" fontId="57" fillId="0" borderId="27" xfId="67" applyFont="1" applyFill="1" applyBorder="1" applyAlignment="1" applyProtection="1">
      <alignment horizontal="left" vertical="top"/>
      <protection/>
    </xf>
    <xf numFmtId="167" fontId="57" fillId="0" borderId="27" xfId="67" applyFont="1" applyFill="1" applyBorder="1" applyAlignment="1" applyProtection="1">
      <alignment vertical="top"/>
      <protection/>
    </xf>
    <xf numFmtId="167" fontId="57" fillId="0" borderId="0" xfId="67" applyFont="1" applyFill="1" applyBorder="1" applyAlignment="1" applyProtection="1">
      <alignment vertical="top"/>
      <protection/>
    </xf>
    <xf numFmtId="167" fontId="69" fillId="0" borderId="0" xfId="67" applyFont="1" applyFill="1" applyBorder="1" applyAlignment="1" applyProtection="1">
      <alignment vertical="top"/>
      <protection/>
    </xf>
    <xf numFmtId="167" fontId="58" fillId="0" borderId="0" xfId="67" applyFont="1" applyFill="1" applyBorder="1" applyAlignment="1" applyProtection="1">
      <alignment vertical="top"/>
      <protection/>
    </xf>
    <xf numFmtId="167" fontId="71" fillId="0" borderId="0" xfId="67" applyFont="1" applyFill="1" applyBorder="1" applyAlignment="1" applyProtection="1">
      <alignment/>
      <protection/>
    </xf>
    <xf numFmtId="167" fontId="60" fillId="0" borderId="27" xfId="67" applyFont="1" applyFill="1" applyBorder="1" applyAlignment="1" applyProtection="1">
      <alignment horizontal="left" vertical="center"/>
      <protection/>
    </xf>
    <xf numFmtId="167" fontId="60" fillId="0" borderId="0" xfId="67" applyFont="1" applyFill="1" applyBorder="1" applyAlignment="1" applyProtection="1">
      <alignment horizontal="left" vertical="center"/>
      <protection/>
    </xf>
    <xf numFmtId="167" fontId="71" fillId="0" borderId="0" xfId="67" applyFont="1" applyFill="1" applyBorder="1" applyAlignment="1" applyProtection="1">
      <alignment vertical="top"/>
      <protection/>
    </xf>
    <xf numFmtId="167" fontId="57" fillId="0" borderId="47" xfId="67" applyFont="1" applyFill="1" applyBorder="1" applyProtection="1">
      <alignment/>
      <protection/>
    </xf>
    <xf numFmtId="167" fontId="57" fillId="0" borderId="12" xfId="67" applyFont="1" applyFill="1" applyBorder="1" applyProtection="1">
      <alignment/>
      <protection/>
    </xf>
    <xf numFmtId="167" fontId="57" fillId="0" borderId="0" xfId="67" applyFont="1" applyFill="1" applyBorder="1" applyAlignment="1" applyProtection="1" quotePrefix="1">
      <alignment vertical="top"/>
      <protection/>
    </xf>
    <xf numFmtId="167" fontId="57" fillId="0" borderId="32" xfId="67" applyFont="1" applyFill="1" applyBorder="1" applyAlignment="1" applyProtection="1">
      <alignment vertical="top"/>
      <protection/>
    </xf>
    <xf numFmtId="167" fontId="60" fillId="0" borderId="27" xfId="67" applyFont="1" applyFill="1" applyBorder="1" applyAlignment="1" applyProtection="1">
      <alignment horizontal="left" vertical="top"/>
      <protection/>
    </xf>
    <xf numFmtId="167" fontId="60" fillId="0" borderId="0" xfId="67" applyFont="1" applyFill="1" applyBorder="1" applyAlignment="1" applyProtection="1">
      <alignment vertical="top"/>
      <protection/>
    </xf>
    <xf numFmtId="167" fontId="60" fillId="0" borderId="32" xfId="67" applyFont="1" applyFill="1" applyBorder="1" applyAlignment="1" applyProtection="1">
      <alignment vertical="top"/>
      <protection/>
    </xf>
    <xf numFmtId="167" fontId="60" fillId="0" borderId="27" xfId="67" applyFont="1" applyFill="1" applyBorder="1" applyAlignment="1" applyProtection="1">
      <alignment vertical="top"/>
      <protection/>
    </xf>
    <xf numFmtId="176" fontId="65" fillId="0" borderId="24" xfId="67" applyNumberFormat="1" applyFont="1" applyFill="1" applyBorder="1" applyAlignment="1" applyProtection="1">
      <alignment horizontal="centerContinuous"/>
      <protection/>
    </xf>
    <xf numFmtId="176" fontId="65" fillId="0" borderId="33" xfId="67" applyNumberFormat="1" applyFont="1" applyFill="1" applyBorder="1" applyAlignment="1" applyProtection="1">
      <alignment horizontal="centerContinuous" vertical="center"/>
      <protection/>
    </xf>
    <xf numFmtId="206" fontId="79" fillId="0" borderId="14" xfId="67" applyNumberFormat="1" applyFont="1" applyFill="1" applyBorder="1" applyAlignment="1" applyProtection="1">
      <alignment horizontal="centerContinuous" vertical="center"/>
      <protection/>
    </xf>
    <xf numFmtId="206" fontId="79" fillId="0" borderId="33" xfId="67" applyNumberFormat="1" applyFont="1" applyFill="1" applyBorder="1" applyAlignment="1" applyProtection="1">
      <alignment horizontal="left" vertical="center"/>
      <protection/>
    </xf>
    <xf numFmtId="206" fontId="79" fillId="0" borderId="24" xfId="67" applyNumberFormat="1" applyFont="1" applyFill="1" applyBorder="1" applyAlignment="1" applyProtection="1">
      <alignment horizontal="centerContinuous"/>
      <protection/>
    </xf>
    <xf numFmtId="206" fontId="79" fillId="0" borderId="24" xfId="67" applyNumberFormat="1" applyFont="1" applyFill="1" applyBorder="1" applyAlignment="1" applyProtection="1">
      <alignment horizontal="centerContinuous" vertical="center"/>
      <protection/>
    </xf>
    <xf numFmtId="167" fontId="71" fillId="0" borderId="27" xfId="67" applyFont="1" applyFill="1" applyBorder="1" applyAlignment="1" applyProtection="1">
      <alignment horizontal="left" vertical="center"/>
      <protection/>
    </xf>
    <xf numFmtId="167" fontId="60" fillId="0" borderId="27" xfId="67" applyFont="1" applyFill="1" applyBorder="1" applyAlignment="1" applyProtection="1">
      <alignment/>
      <protection/>
    </xf>
    <xf numFmtId="167" fontId="51" fillId="0" borderId="0" xfId="67" applyFont="1" applyFill="1" applyBorder="1" applyAlignment="1" applyProtection="1">
      <alignment horizontal="right" vertical="center"/>
      <protection/>
    </xf>
    <xf numFmtId="167" fontId="60" fillId="0" borderId="0" xfId="67" applyFont="1" applyFill="1" applyBorder="1" applyProtection="1">
      <alignment/>
      <protection/>
    </xf>
    <xf numFmtId="167" fontId="60" fillId="0" borderId="32" xfId="67" applyFont="1" applyFill="1" applyBorder="1" applyProtection="1">
      <alignment/>
      <protection/>
    </xf>
    <xf numFmtId="167" fontId="10" fillId="0" borderId="0" xfId="67" applyFont="1" applyFill="1" applyBorder="1" applyAlignment="1" applyProtection="1">
      <alignment horizontal="right" vertical="center"/>
      <protection/>
    </xf>
    <xf numFmtId="167" fontId="60" fillId="0" borderId="0" xfId="67" applyFont="1" applyFill="1" applyBorder="1" applyAlignment="1" applyProtection="1">
      <alignment/>
      <protection/>
    </xf>
    <xf numFmtId="37" fontId="70" fillId="0" borderId="32" xfId="67" applyNumberFormat="1" applyFont="1" applyFill="1" applyBorder="1" applyProtection="1">
      <alignment/>
      <protection/>
    </xf>
    <xf numFmtId="167" fontId="60" fillId="0" borderId="24" xfId="67" applyFont="1" applyFill="1" applyBorder="1" applyAlignment="1" applyProtection="1">
      <alignment horizontal="left"/>
      <protection/>
    </xf>
    <xf numFmtId="167" fontId="51" fillId="0" borderId="24" xfId="67" applyFont="1" applyFill="1" applyBorder="1" applyAlignment="1" applyProtection="1">
      <alignment horizontal="right" vertical="center"/>
      <protection/>
    </xf>
    <xf numFmtId="167" fontId="66" fillId="0" borderId="25" xfId="67" applyFont="1" applyFill="1" applyBorder="1" applyAlignment="1" applyProtection="1">
      <alignment horizontal="left"/>
      <protection/>
    </xf>
    <xf numFmtId="167" fontId="67" fillId="0" borderId="0" xfId="67" applyFont="1" applyFill="1" applyBorder="1" applyAlignment="1" applyProtection="1">
      <alignment horizontal="centerContinuous" vertical="center"/>
      <protection/>
    </xf>
    <xf numFmtId="167" fontId="67" fillId="0" borderId="32" xfId="67" applyFont="1" applyFill="1" applyBorder="1" applyAlignment="1" applyProtection="1">
      <alignment horizontal="centerContinuous" vertical="center"/>
      <protection/>
    </xf>
    <xf numFmtId="167" fontId="73" fillId="0" borderId="27" xfId="67" applyFont="1" applyFill="1" applyBorder="1" applyAlignment="1" applyProtection="1">
      <alignment horizontal="left" vertical="center"/>
      <protection/>
    </xf>
    <xf numFmtId="167" fontId="67" fillId="0" borderId="27" xfId="67" applyFont="1" applyFill="1" applyBorder="1" applyAlignment="1" applyProtection="1">
      <alignment horizontal="centerContinuous" vertical="center"/>
      <protection/>
    </xf>
    <xf numFmtId="167" fontId="67" fillId="0" borderId="24" xfId="67" applyFont="1" applyFill="1" applyBorder="1" applyAlignment="1" applyProtection="1">
      <alignment horizontal="centerContinuous" vertical="center"/>
      <protection/>
    </xf>
    <xf numFmtId="167" fontId="67" fillId="0" borderId="33" xfId="67" applyFont="1" applyFill="1" applyBorder="1" applyAlignment="1" applyProtection="1">
      <alignment horizontal="centerContinuous" vertical="center"/>
      <protection/>
    </xf>
    <xf numFmtId="167" fontId="60" fillId="0" borderId="27" xfId="67" applyFont="1" applyFill="1" applyBorder="1" applyProtection="1">
      <alignment/>
      <protection/>
    </xf>
    <xf numFmtId="167" fontId="60" fillId="0" borderId="27" xfId="67" applyFont="1" applyFill="1" applyBorder="1" applyAlignment="1" applyProtection="1">
      <alignment horizontal="left" vertical="top" wrapText="1"/>
      <protection/>
    </xf>
    <xf numFmtId="167" fontId="81" fillId="0" borderId="0" xfId="55" applyNumberFormat="1" applyFont="1" applyFill="1" applyBorder="1" applyAlignment="1" applyProtection="1" quotePrefix="1">
      <alignment horizontal="left" vertical="center"/>
      <protection/>
    </xf>
    <xf numFmtId="167" fontId="57" fillId="0" borderId="14" xfId="67" applyFont="1" applyFill="1" applyBorder="1" applyProtection="1">
      <alignment/>
      <protection/>
    </xf>
    <xf numFmtId="167" fontId="66" fillId="0" borderId="24" xfId="67" applyFont="1" applyFill="1" applyBorder="1" applyAlignment="1" applyProtection="1">
      <alignment vertical="center"/>
      <protection/>
    </xf>
    <xf numFmtId="167" fontId="66" fillId="0" borderId="33" xfId="67" applyFont="1" applyFill="1" applyBorder="1" applyAlignment="1" applyProtection="1">
      <alignment/>
      <protection/>
    </xf>
    <xf numFmtId="167" fontId="66" fillId="0" borderId="14" xfId="67" applyFont="1" applyFill="1" applyBorder="1" applyAlignment="1" applyProtection="1">
      <alignment vertical="center"/>
      <protection/>
    </xf>
    <xf numFmtId="167" fontId="66" fillId="0" borderId="33" xfId="67" applyFont="1" applyFill="1" applyBorder="1" applyAlignment="1" applyProtection="1">
      <alignment vertical="center"/>
      <protection/>
    </xf>
    <xf numFmtId="167" fontId="57" fillId="0" borderId="13" xfId="67" applyFont="1" applyFill="1" applyBorder="1" applyAlignment="1" applyProtection="1">
      <alignment vertical="top"/>
      <protection/>
    </xf>
    <xf numFmtId="167" fontId="57" fillId="0" borderId="27" xfId="67" applyFont="1" applyFill="1" applyBorder="1" applyProtection="1">
      <alignment/>
      <protection/>
    </xf>
    <xf numFmtId="167" fontId="57" fillId="0" borderId="32" xfId="67" applyFont="1" applyFill="1" applyBorder="1" applyAlignment="1" applyProtection="1">
      <alignment/>
      <protection/>
    </xf>
    <xf numFmtId="167" fontId="57" fillId="0" borderId="32" xfId="67" applyFont="1" applyFill="1" applyBorder="1" applyAlignment="1" applyProtection="1">
      <alignment vertical="center"/>
      <protection/>
    </xf>
    <xf numFmtId="167" fontId="58" fillId="0" borderId="27" xfId="67" applyFont="1" applyFill="1" applyBorder="1" applyProtection="1">
      <alignment/>
      <protection/>
    </xf>
    <xf numFmtId="167" fontId="58" fillId="0" borderId="0" xfId="67" applyFont="1" applyFill="1" applyBorder="1" applyProtection="1">
      <alignment/>
      <protection/>
    </xf>
    <xf numFmtId="167" fontId="58" fillId="0" borderId="32" xfId="67" applyFont="1" applyFill="1" applyBorder="1" applyProtection="1">
      <alignment/>
      <protection/>
    </xf>
    <xf numFmtId="176" fontId="83" fillId="0" borderId="28" xfId="67" applyNumberFormat="1" applyFont="1" applyFill="1" applyBorder="1" applyAlignment="1" applyProtection="1">
      <alignment horizontal="center"/>
      <protection/>
    </xf>
    <xf numFmtId="167" fontId="57" fillId="0" borderId="33" xfId="67" applyFont="1" applyFill="1" applyBorder="1" applyAlignment="1" applyProtection="1">
      <alignment/>
      <protection/>
    </xf>
    <xf numFmtId="167" fontId="58" fillId="0" borderId="14" xfId="67" applyFont="1" applyFill="1" applyBorder="1" applyProtection="1">
      <alignment/>
      <protection/>
    </xf>
    <xf numFmtId="167" fontId="58" fillId="0" borderId="24" xfId="67" applyFont="1" applyFill="1" applyBorder="1" applyProtection="1">
      <alignment/>
      <protection/>
    </xf>
    <xf numFmtId="167" fontId="58" fillId="0" borderId="33" xfId="67" applyFont="1" applyFill="1" applyBorder="1" applyProtection="1">
      <alignment/>
      <protection/>
    </xf>
    <xf numFmtId="176" fontId="82" fillId="0" borderId="11" xfId="67" applyNumberFormat="1" applyFont="1" applyFill="1" applyBorder="1" applyAlignment="1" applyProtection="1" quotePrefix="1">
      <alignment horizontal="center"/>
      <protection/>
    </xf>
    <xf numFmtId="167" fontId="64" fillId="0" borderId="27" xfId="67" applyFont="1" applyFill="1" applyBorder="1" applyAlignment="1" applyProtection="1">
      <alignment vertical="center"/>
      <protection/>
    </xf>
    <xf numFmtId="176" fontId="82" fillId="0" borderId="28" xfId="67" applyNumberFormat="1" applyFont="1" applyFill="1" applyBorder="1" applyAlignment="1" applyProtection="1" quotePrefix="1">
      <alignment horizontal="center"/>
      <protection/>
    </xf>
    <xf numFmtId="167" fontId="62" fillId="0" borderId="28" xfId="67" applyFont="1" applyFill="1" applyBorder="1" applyProtection="1">
      <alignment/>
      <protection/>
    </xf>
    <xf numFmtId="0" fontId="57" fillId="0" borderId="0" xfId="65" applyFont="1" applyFill="1" applyBorder="1" applyAlignment="1" applyProtection="1">
      <alignment vertical="top"/>
      <protection/>
    </xf>
    <xf numFmtId="167" fontId="0" fillId="0" borderId="0" xfId="67" applyFont="1" applyFill="1" applyBorder="1" applyAlignment="1" applyProtection="1">
      <alignment horizontal="centerContinuous" vertical="top"/>
      <protection/>
    </xf>
    <xf numFmtId="167" fontId="0" fillId="0" borderId="0" xfId="67" applyFont="1" applyFill="1" applyBorder="1" applyAlignment="1" applyProtection="1">
      <alignment vertical="top"/>
      <protection/>
    </xf>
    <xf numFmtId="167" fontId="62" fillId="0" borderId="0" xfId="67" applyFont="1" applyFill="1" applyAlignment="1" applyProtection="1">
      <alignment/>
      <protection/>
    </xf>
    <xf numFmtId="167" fontId="62" fillId="0" borderId="0" xfId="67" applyFont="1" applyFill="1" applyProtection="1">
      <alignment/>
      <protection/>
    </xf>
    <xf numFmtId="0" fontId="57" fillId="0" borderId="0" xfId="65" applyFont="1" applyFill="1" applyAlignment="1" applyProtection="1">
      <alignment/>
      <protection/>
    </xf>
    <xf numFmtId="167" fontId="57" fillId="0" borderId="0" xfId="67" applyFont="1" applyFill="1" applyProtection="1">
      <alignment/>
      <protection/>
    </xf>
    <xf numFmtId="0" fontId="57" fillId="0" borderId="0" xfId="65" applyFont="1" applyFill="1" applyAlignment="1" applyProtection="1">
      <alignment horizontal="right"/>
      <protection/>
    </xf>
    <xf numFmtId="0" fontId="58" fillId="0" borderId="0" xfId="62" applyFont="1" applyFill="1" applyProtection="1">
      <alignment/>
      <protection/>
    </xf>
    <xf numFmtId="0" fontId="58" fillId="0" borderId="24" xfId="62" applyFont="1" applyFill="1" applyBorder="1" applyProtection="1">
      <alignment/>
      <protection/>
    </xf>
    <xf numFmtId="0" fontId="63" fillId="0" borderId="0" xfId="62" applyFont="1" applyFill="1" applyBorder="1" applyAlignment="1" applyProtection="1">
      <alignment vertical="top"/>
      <protection/>
    </xf>
    <xf numFmtId="0" fontId="57" fillId="0" borderId="0" xfId="62" applyFont="1" applyFill="1" applyBorder="1" applyAlignment="1" applyProtection="1">
      <alignment vertical="center"/>
      <protection/>
    </xf>
    <xf numFmtId="0" fontId="69" fillId="0" borderId="0" xfId="62" applyFont="1" applyFill="1" applyBorder="1" applyAlignment="1" applyProtection="1">
      <alignment vertical="center"/>
      <protection/>
    </xf>
    <xf numFmtId="0" fontId="78" fillId="0" borderId="0" xfId="62" applyFont="1" applyFill="1" applyBorder="1" applyAlignment="1" applyProtection="1">
      <alignment vertical="center"/>
      <protection/>
    </xf>
    <xf numFmtId="0" fontId="58" fillId="0" borderId="0" xfId="62" applyFont="1" applyFill="1" applyBorder="1" applyAlignment="1" applyProtection="1">
      <alignment vertical="center"/>
      <protection/>
    </xf>
    <xf numFmtId="0" fontId="49" fillId="0" borderId="0" xfId="62" applyFont="1" applyFill="1" applyBorder="1" applyAlignment="1" applyProtection="1">
      <alignment horizontal="right" vertical="center"/>
      <protection/>
    </xf>
    <xf numFmtId="0" fontId="57" fillId="0" borderId="0" xfId="62" applyFont="1" applyFill="1" applyBorder="1" applyAlignment="1" applyProtection="1">
      <alignment/>
      <protection/>
    </xf>
    <xf numFmtId="0" fontId="69" fillId="0" borderId="0" xfId="62" applyFont="1" applyFill="1" applyBorder="1" applyAlignment="1" applyProtection="1">
      <alignment/>
      <protection/>
    </xf>
    <xf numFmtId="0" fontId="78" fillId="0" borderId="0" xfId="62" applyFont="1" applyFill="1" applyBorder="1" applyAlignment="1" applyProtection="1">
      <alignment/>
      <protection/>
    </xf>
    <xf numFmtId="0" fontId="64" fillId="0" borderId="0" xfId="62" applyFont="1" applyFill="1" applyBorder="1" applyAlignment="1" applyProtection="1">
      <alignment vertical="center"/>
      <protection/>
    </xf>
    <xf numFmtId="0" fontId="60" fillId="0" borderId="0" xfId="62" applyFont="1" applyFill="1" applyBorder="1" applyAlignment="1" applyProtection="1">
      <alignment/>
      <protection/>
    </xf>
    <xf numFmtId="0" fontId="51" fillId="0" borderId="0" xfId="62" applyFont="1" applyFill="1" applyBorder="1" applyAlignment="1" applyProtection="1">
      <alignment horizontal="center"/>
      <protection/>
    </xf>
    <xf numFmtId="0" fontId="51" fillId="0" borderId="0" xfId="62" applyFont="1" applyFill="1" applyBorder="1" applyAlignment="1" applyProtection="1">
      <alignment horizontal="center" vertical="center"/>
      <protection/>
    </xf>
    <xf numFmtId="0" fontId="60" fillId="0" borderId="0" xfId="62" applyFont="1" applyFill="1" applyBorder="1" applyAlignment="1" applyProtection="1">
      <alignment horizontal="left" vertical="center"/>
      <protection/>
    </xf>
    <xf numFmtId="0" fontId="60" fillId="0" borderId="0" xfId="62" applyFont="1" applyFill="1" applyBorder="1" applyAlignment="1" applyProtection="1">
      <alignment vertical="center"/>
      <protection/>
    </xf>
    <xf numFmtId="0" fontId="57" fillId="0" borderId="0" xfId="62" applyFont="1" applyFill="1" applyBorder="1" applyAlignment="1" applyProtection="1">
      <alignment vertical="center"/>
      <protection/>
    </xf>
    <xf numFmtId="0" fontId="57" fillId="0" borderId="0" xfId="62" applyFont="1" applyFill="1" applyAlignment="1" applyProtection="1">
      <alignment/>
      <protection/>
    </xf>
    <xf numFmtId="0" fontId="64" fillId="0" borderId="0" xfId="62" applyFont="1" applyFill="1" applyBorder="1" applyAlignment="1" applyProtection="1">
      <alignment vertical="top"/>
      <protection/>
    </xf>
    <xf numFmtId="0" fontId="57" fillId="0" borderId="0" xfId="62" applyFont="1" applyFill="1" applyBorder="1" applyAlignment="1" applyProtection="1">
      <alignment vertical="top"/>
      <protection/>
    </xf>
    <xf numFmtId="0" fontId="69" fillId="0" borderId="0" xfId="62" applyFont="1" applyFill="1" applyBorder="1" applyAlignment="1" applyProtection="1">
      <alignment vertical="top"/>
      <protection/>
    </xf>
    <xf numFmtId="0" fontId="78" fillId="0" borderId="0" xfId="62" applyFont="1" applyFill="1" applyBorder="1" applyAlignment="1" applyProtection="1">
      <alignment vertical="top"/>
      <protection/>
    </xf>
    <xf numFmtId="0" fontId="63" fillId="0" borderId="0" xfId="62" applyFont="1" applyFill="1" applyAlignment="1" applyProtection="1">
      <alignment vertical="top"/>
      <protection/>
    </xf>
    <xf numFmtId="0" fontId="92" fillId="0" borderId="0" xfId="62" applyFont="1" applyFill="1" applyAlignment="1" applyProtection="1">
      <alignment vertical="top"/>
      <protection/>
    </xf>
    <xf numFmtId="0" fontId="92" fillId="0" borderId="0" xfId="62" applyFont="1" applyFill="1" applyAlignment="1" applyProtection="1">
      <alignment vertical="center"/>
      <protection/>
    </xf>
    <xf numFmtId="167" fontId="92" fillId="0" borderId="0" xfId="67" applyFont="1" applyFill="1" applyAlignment="1" applyProtection="1">
      <alignment vertical="center"/>
      <protection/>
    </xf>
    <xf numFmtId="0" fontId="92" fillId="0" borderId="0" xfId="62" applyFont="1" applyFill="1" applyAlignment="1" applyProtection="1">
      <alignment horizontal="right"/>
      <protection/>
    </xf>
    <xf numFmtId="0" fontId="57" fillId="0" borderId="0" xfId="63" applyFont="1" applyFill="1" applyAlignment="1" applyProtection="1">
      <alignment/>
      <protection/>
    </xf>
    <xf numFmtId="167" fontId="57" fillId="0" borderId="0" xfId="67" applyFont="1" applyFill="1" applyAlignment="1" applyProtection="1">
      <alignment/>
      <protection/>
    </xf>
    <xf numFmtId="0" fontId="51" fillId="0" borderId="0" xfId="63" applyFont="1" applyFill="1" applyProtection="1">
      <alignment/>
      <protection/>
    </xf>
    <xf numFmtId="0" fontId="51" fillId="0" borderId="0" xfId="63" applyFont="1" applyFill="1" applyBorder="1" applyProtection="1">
      <alignment/>
      <protection/>
    </xf>
    <xf numFmtId="0" fontId="51" fillId="0" borderId="0" xfId="62" applyFont="1" applyFill="1" applyProtection="1">
      <alignment/>
      <protection/>
    </xf>
    <xf numFmtId="0" fontId="57" fillId="0" borderId="0" xfId="63" applyFont="1" applyFill="1" applyProtection="1">
      <alignment/>
      <protection/>
    </xf>
    <xf numFmtId="0" fontId="57" fillId="0" borderId="0" xfId="63" applyFont="1" applyFill="1" applyProtection="1" quotePrefix="1">
      <alignment/>
      <protection/>
    </xf>
    <xf numFmtId="0" fontId="57" fillId="0" borderId="0" xfId="62" applyFont="1" applyFill="1" applyProtection="1">
      <alignment/>
      <protection/>
    </xf>
    <xf numFmtId="0" fontId="57" fillId="0" borderId="0" xfId="62" applyFont="1" applyFill="1" applyBorder="1" applyProtection="1">
      <alignment/>
      <protection/>
    </xf>
    <xf numFmtId="0" fontId="48" fillId="0" borderId="0" xfId="62" applyFont="1" applyFill="1" applyBorder="1" applyAlignment="1" applyProtection="1">
      <alignment horizontal="right" vertical="center"/>
      <protection/>
    </xf>
    <xf numFmtId="0" fontId="49" fillId="0" borderId="0" xfId="62" applyFont="1" applyFill="1" applyBorder="1" applyAlignment="1" applyProtection="1">
      <alignment horizontal="center" vertical="center"/>
      <protection/>
    </xf>
    <xf numFmtId="0" fontId="58" fillId="0" borderId="0" xfId="62" applyFont="1" applyFill="1" applyBorder="1" applyAlignment="1" applyProtection="1">
      <alignment horizontal="right" vertical="center"/>
      <protection/>
    </xf>
    <xf numFmtId="0" fontId="64" fillId="0" borderId="0" xfId="63" applyFont="1" applyFill="1" applyAlignment="1" applyProtection="1">
      <alignment vertical="top"/>
      <protection/>
    </xf>
    <xf numFmtId="0" fontId="57" fillId="0" borderId="0" xfId="63" applyFont="1" applyFill="1" applyAlignment="1" applyProtection="1">
      <alignment vertical="top"/>
      <protection/>
    </xf>
    <xf numFmtId="0" fontId="57" fillId="0" borderId="0" xfId="62" applyFont="1" applyFill="1" applyAlignment="1" applyProtection="1">
      <alignment vertical="top"/>
      <protection/>
    </xf>
    <xf numFmtId="0" fontId="57" fillId="0" borderId="0" xfId="63" applyFont="1" applyFill="1" applyAlignment="1" applyProtection="1">
      <alignment horizontal="right"/>
      <protection/>
    </xf>
    <xf numFmtId="0" fontId="57" fillId="0" borderId="0" xfId="63" applyFont="1" applyFill="1" applyAlignment="1" applyProtection="1">
      <alignment horizontal="centerContinuous"/>
      <protection/>
    </xf>
    <xf numFmtId="0" fontId="57" fillId="0" borderId="0" xfId="63" applyFont="1" applyFill="1" applyAlignment="1" applyProtection="1">
      <alignment vertical="center"/>
      <protection/>
    </xf>
    <xf numFmtId="0" fontId="57" fillId="0" borderId="0" xfId="63" applyFont="1" applyFill="1" applyBorder="1" applyProtection="1">
      <alignment/>
      <protection/>
    </xf>
    <xf numFmtId="167" fontId="57" fillId="0" borderId="24" xfId="67" applyFont="1" applyFill="1" applyBorder="1" applyAlignment="1" applyProtection="1">
      <alignment vertical="top"/>
      <protection/>
    </xf>
    <xf numFmtId="167" fontId="57" fillId="0" borderId="14" xfId="67" applyFont="1" applyFill="1" applyBorder="1" applyAlignment="1" applyProtection="1">
      <alignment horizontal="right"/>
      <protection/>
    </xf>
    <xf numFmtId="167" fontId="57" fillId="0" borderId="14" xfId="67" applyFont="1" applyFill="1" applyBorder="1" applyAlignment="1" applyProtection="1" quotePrefix="1">
      <alignment vertical="top"/>
      <protection/>
    </xf>
    <xf numFmtId="167" fontId="57" fillId="0" borderId="24" xfId="67" applyFont="1" applyFill="1" applyBorder="1" applyAlignment="1" applyProtection="1" quotePrefix="1">
      <alignment vertical="top"/>
      <protection/>
    </xf>
    <xf numFmtId="167" fontId="57" fillId="0" borderId="14" xfId="67" applyFont="1" applyFill="1" applyBorder="1" applyAlignment="1" applyProtection="1">
      <alignment vertical="top"/>
      <protection/>
    </xf>
    <xf numFmtId="167" fontId="78" fillId="0" borderId="33" xfId="67" applyFont="1" applyFill="1" applyBorder="1" applyAlignment="1" applyProtection="1">
      <alignment vertical="top"/>
      <protection/>
    </xf>
    <xf numFmtId="207" fontId="74" fillId="0" borderId="47" xfId="67" applyNumberFormat="1" applyFont="1" applyFill="1" applyBorder="1" applyAlignment="1" applyProtection="1">
      <alignment horizontal="left" vertical="center"/>
      <protection/>
    </xf>
    <xf numFmtId="167" fontId="17" fillId="0" borderId="27" xfId="67" applyFont="1" applyFill="1" applyBorder="1" applyAlignment="1" applyProtection="1">
      <alignment vertical="center"/>
      <protection/>
    </xf>
    <xf numFmtId="0" fontId="63" fillId="0" borderId="0" xfId="65" applyFont="1" applyFill="1" applyBorder="1" applyAlignment="1" applyProtection="1">
      <alignment horizontal="right" vertical="top"/>
      <protection/>
    </xf>
    <xf numFmtId="167" fontId="57" fillId="0" borderId="12" xfId="67" applyFont="1" applyFill="1" applyBorder="1" applyAlignment="1" applyProtection="1">
      <alignment/>
      <protection/>
    </xf>
    <xf numFmtId="167" fontId="51" fillId="0" borderId="0" xfId="67" applyFont="1" applyFill="1" applyBorder="1" applyAlignment="1" applyProtection="1">
      <alignment horizontal="right" vertical="top"/>
      <protection/>
    </xf>
    <xf numFmtId="0" fontId="57" fillId="0" borderId="0" xfId="65" applyFont="1" applyFill="1" applyBorder="1" applyAlignment="1" applyProtection="1">
      <alignment horizontal="centerContinuous" vertical="top"/>
      <protection/>
    </xf>
    <xf numFmtId="0" fontId="0" fillId="0" borderId="48" xfId="62" applyFont="1" applyFill="1" applyBorder="1" applyAlignment="1" applyProtection="1">
      <alignment horizontal="centerContinuous" vertical="center"/>
      <protection/>
    </xf>
    <xf numFmtId="0" fontId="96" fillId="0" borderId="48" xfId="62" applyFont="1" applyFill="1" applyBorder="1" applyAlignment="1" applyProtection="1">
      <alignment horizontal="centerContinuous" vertical="center"/>
      <protection/>
    </xf>
    <xf numFmtId="0" fontId="97" fillId="0" borderId="48" xfId="62" applyFont="1" applyFill="1" applyBorder="1" applyAlignment="1" applyProtection="1">
      <alignment horizontal="centerContinuous" vertical="center"/>
      <protection/>
    </xf>
    <xf numFmtId="0" fontId="98" fillId="0" borderId="48" xfId="62" applyFont="1" applyFill="1" applyBorder="1" applyAlignment="1" applyProtection="1">
      <alignment horizontal="centerContinuous" vertical="center"/>
      <protection/>
    </xf>
    <xf numFmtId="0" fontId="49" fillId="0" borderId="24" xfId="62" applyFont="1" applyFill="1" applyBorder="1" applyAlignment="1" applyProtection="1">
      <alignment/>
      <protection/>
    </xf>
    <xf numFmtId="0" fontId="52" fillId="0" borderId="48" xfId="62" applyFont="1" applyFill="1" applyBorder="1" applyAlignment="1" applyProtection="1">
      <alignment horizontal="centerContinuous" vertical="center"/>
      <protection/>
    </xf>
    <xf numFmtId="0" fontId="57" fillId="0" borderId="0" xfId="63" applyFont="1" applyFill="1" applyBorder="1" applyAlignment="1" applyProtection="1">
      <alignment vertical="top"/>
      <protection/>
    </xf>
    <xf numFmtId="0" fontId="58" fillId="0" borderId="0" xfId="63" applyFont="1" applyFill="1" applyBorder="1" applyAlignment="1" applyProtection="1">
      <alignment vertical="top"/>
      <protection/>
    </xf>
    <xf numFmtId="0" fontId="57" fillId="0" borderId="48" xfId="63" applyFont="1" applyFill="1" applyBorder="1" applyAlignment="1" applyProtection="1">
      <alignment horizontal="centerContinuous"/>
      <protection/>
    </xf>
    <xf numFmtId="0" fontId="58" fillId="0" borderId="48" xfId="62" applyFont="1" applyFill="1" applyBorder="1" applyAlignment="1" applyProtection="1">
      <alignment horizontal="centerContinuous"/>
      <protection/>
    </xf>
    <xf numFmtId="0" fontId="57" fillId="0" borderId="49" xfId="63" applyFont="1" applyFill="1" applyBorder="1" applyAlignment="1" applyProtection="1">
      <alignment horizontal="centerContinuous"/>
      <protection/>
    </xf>
    <xf numFmtId="0" fontId="51" fillId="0" borderId="27" xfId="63" applyFont="1" applyFill="1" applyBorder="1" applyAlignment="1" applyProtection="1">
      <alignment/>
      <protection/>
    </xf>
    <xf numFmtId="0" fontId="51" fillId="0" borderId="27" xfId="63" applyFont="1" applyFill="1" applyBorder="1" applyProtection="1">
      <alignment/>
      <protection/>
    </xf>
    <xf numFmtId="167" fontId="0" fillId="0" borderId="48" xfId="67" applyFont="1" applyFill="1" applyBorder="1" applyAlignment="1" applyProtection="1">
      <alignment horizontal="centerContinuous"/>
      <protection/>
    </xf>
    <xf numFmtId="0" fontId="51" fillId="0" borderId="24" xfId="63" applyFont="1" applyFill="1" applyBorder="1" applyProtection="1">
      <alignment/>
      <protection/>
    </xf>
    <xf numFmtId="0" fontId="51" fillId="0" borderId="14" xfId="63" applyFont="1" applyFill="1" applyBorder="1" applyProtection="1">
      <alignment/>
      <protection/>
    </xf>
    <xf numFmtId="0" fontId="51" fillId="0" borderId="24" xfId="62" applyFont="1" applyFill="1" applyBorder="1" applyProtection="1">
      <alignment/>
      <protection/>
    </xf>
    <xf numFmtId="0" fontId="57" fillId="0" borderId="24" xfId="62" applyFont="1" applyFill="1" applyBorder="1" applyAlignment="1" applyProtection="1">
      <alignment/>
      <protection/>
    </xf>
    <xf numFmtId="0" fontId="63" fillId="0" borderId="0" xfId="63" applyFont="1" applyFill="1" applyBorder="1" applyAlignment="1" applyProtection="1">
      <alignment/>
      <protection/>
    </xf>
    <xf numFmtId="0" fontId="57" fillId="0" borderId="25" xfId="62" applyFont="1" applyFill="1" applyBorder="1" applyProtection="1">
      <alignment/>
      <protection/>
    </xf>
    <xf numFmtId="0" fontId="63" fillId="0" borderId="25" xfId="62" applyFont="1" applyFill="1" applyBorder="1" applyAlignment="1" applyProtection="1">
      <alignment vertical="top"/>
      <protection/>
    </xf>
    <xf numFmtId="176" fontId="49" fillId="0" borderId="0" xfId="62" applyNumberFormat="1" applyFont="1" applyFill="1" applyBorder="1" applyAlignment="1" applyProtection="1">
      <alignment horizontal="centerContinuous"/>
      <protection/>
    </xf>
    <xf numFmtId="0" fontId="49" fillId="0" borderId="0" xfId="62" applyFont="1" applyFill="1" applyBorder="1" applyAlignment="1" applyProtection="1">
      <alignment horizontal="centerContinuous"/>
      <protection/>
    </xf>
    <xf numFmtId="167" fontId="49" fillId="0" borderId="0" xfId="67" applyFont="1" applyFill="1" applyBorder="1" applyAlignment="1" applyProtection="1">
      <alignment horizontal="centerContinuous"/>
      <protection/>
    </xf>
    <xf numFmtId="176" fontId="49" fillId="0" borderId="0" xfId="62" applyNumberFormat="1" applyFont="1" applyFill="1" applyBorder="1" applyAlignment="1" applyProtection="1">
      <alignment horizontal="center"/>
      <protection/>
    </xf>
    <xf numFmtId="37" fontId="47" fillId="0" borderId="24" xfId="63" applyNumberFormat="1" applyFont="1" applyFill="1" applyBorder="1" applyAlignment="1" applyProtection="1">
      <alignment/>
      <protection/>
    </xf>
    <xf numFmtId="167" fontId="61" fillId="0" borderId="0" xfId="67" applyFont="1" applyFill="1" applyBorder="1" applyProtection="1">
      <alignment/>
      <protection/>
    </xf>
    <xf numFmtId="167" fontId="62" fillId="0" borderId="0" xfId="67" applyFont="1" applyFill="1" applyBorder="1" applyAlignment="1" applyProtection="1">
      <alignment/>
      <protection/>
    </xf>
    <xf numFmtId="167" fontId="62" fillId="0" borderId="0" xfId="67" applyFont="1" applyFill="1" applyBorder="1" applyAlignment="1" applyProtection="1">
      <alignment vertical="top"/>
      <protection/>
    </xf>
    <xf numFmtId="167" fontId="48" fillId="0" borderId="24" xfId="67" applyFont="1" applyFill="1" applyBorder="1" applyAlignment="1" applyProtection="1">
      <alignment vertical="center"/>
      <protection locked="0"/>
    </xf>
    <xf numFmtId="167" fontId="62" fillId="0" borderId="0" xfId="67" applyFont="1" applyFill="1" applyAlignment="1" applyProtection="1">
      <alignment/>
      <protection/>
    </xf>
    <xf numFmtId="167" fontId="1" fillId="0" borderId="0" xfId="55" applyNumberFormat="1" applyFill="1" applyBorder="1" applyAlignment="1" applyProtection="1">
      <alignment horizontal="left" vertical="center"/>
      <protection locked="0"/>
    </xf>
    <xf numFmtId="167" fontId="50" fillId="0" borderId="24" xfId="67" applyFont="1" applyFill="1" applyBorder="1" applyAlignment="1" applyProtection="1" quotePrefix="1">
      <alignment vertical="center"/>
      <protection locked="0"/>
    </xf>
    <xf numFmtId="167" fontId="25" fillId="0" borderId="0" xfId="67" applyFill="1" applyBorder="1" applyProtection="1">
      <alignment/>
      <protection/>
    </xf>
    <xf numFmtId="167" fontId="75" fillId="0" borderId="0" xfId="67" applyFont="1" applyFill="1" applyBorder="1" applyAlignment="1" applyProtection="1">
      <alignment horizontal="right" vertical="center"/>
      <protection/>
    </xf>
    <xf numFmtId="167" fontId="62" fillId="0" borderId="0" xfId="67" applyFont="1" applyFill="1" applyBorder="1" applyAlignment="1" applyProtection="1">
      <alignment vertical="center"/>
      <protection/>
    </xf>
    <xf numFmtId="167" fontId="62" fillId="0" borderId="0" xfId="67" applyFont="1" applyFill="1" applyBorder="1" applyAlignment="1" applyProtection="1">
      <alignment vertical="center"/>
      <protection/>
    </xf>
    <xf numFmtId="167" fontId="62" fillId="0" borderId="0" xfId="67" applyFont="1" applyFill="1" applyAlignment="1" applyProtection="1">
      <alignment vertical="center"/>
      <protection/>
    </xf>
    <xf numFmtId="167" fontId="62" fillId="0" borderId="0" xfId="67" applyFont="1" applyFill="1" applyBorder="1" applyAlignment="1" applyProtection="1">
      <alignment horizontal="right"/>
      <protection/>
    </xf>
    <xf numFmtId="37" fontId="77" fillId="0" borderId="0" xfId="67" applyNumberFormat="1" applyFont="1" applyFill="1" applyBorder="1" applyProtection="1">
      <alignment/>
      <protection/>
    </xf>
    <xf numFmtId="167" fontId="62" fillId="0" borderId="0" xfId="67" applyFont="1" applyFill="1" applyBorder="1" applyAlignment="1" applyProtection="1">
      <alignment horizontal="right" vertical="top"/>
      <protection/>
    </xf>
    <xf numFmtId="37" fontId="77" fillId="0" borderId="0" xfId="67" applyNumberFormat="1" applyFont="1" applyFill="1" applyBorder="1" applyAlignment="1" applyProtection="1">
      <alignment vertical="top"/>
      <protection/>
    </xf>
    <xf numFmtId="167" fontId="62" fillId="0" borderId="0" xfId="67" applyFont="1" applyFill="1" applyAlignment="1" applyProtection="1">
      <alignment vertical="top"/>
      <protection/>
    </xf>
    <xf numFmtId="176" fontId="10" fillId="0" borderId="14" xfId="67" applyNumberFormat="1" applyFont="1" applyFill="1" applyBorder="1" applyAlignment="1" applyProtection="1">
      <alignment horizontal="left" vertical="center"/>
      <protection locked="0"/>
    </xf>
    <xf numFmtId="167" fontId="50" fillId="0" borderId="24" xfId="67" applyFont="1" applyFill="1" applyBorder="1" applyAlignment="1" applyProtection="1">
      <alignment horizontal="left" vertical="center"/>
      <protection locked="0"/>
    </xf>
    <xf numFmtId="167" fontId="25" fillId="0" borderId="0" xfId="67" applyFill="1" applyProtection="1">
      <alignment/>
      <protection/>
    </xf>
    <xf numFmtId="167" fontId="84" fillId="0" borderId="0" xfId="67" applyFont="1" applyFill="1" applyProtection="1">
      <alignment/>
      <protection/>
    </xf>
    <xf numFmtId="167" fontId="84" fillId="0" borderId="0" xfId="67" applyFont="1" applyFill="1" applyAlignment="1" applyProtection="1">
      <alignment horizontal="right"/>
      <protection/>
    </xf>
    <xf numFmtId="167" fontId="85" fillId="0" borderId="0" xfId="67" applyFont="1" applyFill="1" applyBorder="1" applyAlignment="1" applyProtection="1">
      <alignment horizontal="right"/>
      <protection/>
    </xf>
    <xf numFmtId="167" fontId="86" fillId="0" borderId="0" xfId="67" applyFont="1" applyFill="1" applyBorder="1" applyAlignment="1" applyProtection="1">
      <alignment horizontal="center"/>
      <protection/>
    </xf>
    <xf numFmtId="167" fontId="84" fillId="0" borderId="0" xfId="67" applyFont="1" applyFill="1" applyBorder="1" applyProtection="1">
      <alignment/>
      <protection/>
    </xf>
    <xf numFmtId="167" fontId="87" fillId="0" borderId="0" xfId="67" applyFont="1" applyFill="1" applyBorder="1" applyAlignment="1" applyProtection="1">
      <alignment horizontal="right"/>
      <protection/>
    </xf>
    <xf numFmtId="167" fontId="88" fillId="0" borderId="0" xfId="67" applyFont="1" applyFill="1" applyBorder="1" applyAlignment="1" applyProtection="1">
      <alignment horizontal="right"/>
      <protection/>
    </xf>
    <xf numFmtId="167" fontId="89" fillId="0" borderId="0" xfId="67" applyFont="1" applyFill="1" applyBorder="1" applyAlignment="1" applyProtection="1">
      <alignment horizontal="right"/>
      <protection/>
    </xf>
    <xf numFmtId="167" fontId="90" fillId="0" borderId="0" xfId="67" applyFont="1" applyFill="1" applyBorder="1" applyAlignment="1" applyProtection="1">
      <alignment horizontal="right"/>
      <protection/>
    </xf>
    <xf numFmtId="167" fontId="84" fillId="0" borderId="0" xfId="67" applyFont="1" applyFill="1" applyBorder="1" applyProtection="1">
      <alignment/>
      <protection/>
    </xf>
    <xf numFmtId="167" fontId="91" fillId="0" borderId="0" xfId="67" applyFont="1" applyFill="1" applyBorder="1" applyProtection="1">
      <alignment/>
      <protection/>
    </xf>
    <xf numFmtId="167" fontId="91" fillId="0" borderId="0" xfId="67" applyFont="1" applyFill="1" applyBorder="1" applyAlignment="1" applyProtection="1">
      <alignment horizontal="fill"/>
      <protection/>
    </xf>
    <xf numFmtId="167" fontId="91" fillId="0" borderId="0" xfId="67" applyFont="1" applyFill="1" applyBorder="1" applyAlignment="1" applyProtection="1">
      <alignment/>
      <protection/>
    </xf>
    <xf numFmtId="3" fontId="21" fillId="0" borderId="0" xfId="66" applyNumberFormat="1" applyFont="1" applyFill="1" applyAlignment="1" applyProtection="1">
      <alignment horizontal="left"/>
      <protection/>
    </xf>
    <xf numFmtId="0" fontId="95" fillId="0" borderId="0" xfId="64" applyFill="1" applyProtection="1">
      <alignment/>
      <protection/>
    </xf>
    <xf numFmtId="0" fontId="93" fillId="0" borderId="0" xfId="62" applyFill="1" applyBorder="1" applyProtection="1">
      <alignment/>
      <protection/>
    </xf>
    <xf numFmtId="0" fontId="93" fillId="0" borderId="0" xfId="62" applyFill="1" applyBorder="1" applyAlignment="1" applyProtection="1">
      <alignment vertical="center"/>
      <protection/>
    </xf>
    <xf numFmtId="0" fontId="93" fillId="0" borderId="0" xfId="62" applyFill="1" applyBorder="1" applyAlignment="1" applyProtection="1">
      <alignment vertical="top"/>
      <protection/>
    </xf>
    <xf numFmtId="0" fontId="94" fillId="0" borderId="0" xfId="62" applyFont="1" applyFill="1" applyBorder="1" applyAlignment="1" applyProtection="1">
      <alignment vertical="center"/>
      <protection/>
    </xf>
    <xf numFmtId="0" fontId="99" fillId="0" borderId="0" xfId="62" applyFont="1" applyFill="1" applyBorder="1" applyAlignment="1" applyProtection="1">
      <alignment vertical="center"/>
      <protection/>
    </xf>
    <xf numFmtId="0" fontId="99" fillId="0" borderId="0" xfId="62" applyFont="1" applyFill="1" applyBorder="1" applyAlignment="1" applyProtection="1">
      <alignment/>
      <protection/>
    </xf>
    <xf numFmtId="0" fontId="99" fillId="0" borderId="0" xfId="62" applyFont="1" applyFill="1" applyBorder="1" applyAlignment="1" applyProtection="1">
      <alignment vertical="top"/>
      <protection/>
    </xf>
    <xf numFmtId="0" fontId="51" fillId="0" borderId="0" xfId="63" applyFont="1" applyFill="1" applyAlignment="1" applyProtection="1">
      <alignment/>
      <protection locked="0"/>
    </xf>
    <xf numFmtId="0" fontId="51" fillId="0" borderId="0" xfId="63" applyFont="1" applyFill="1" applyProtection="1">
      <alignment/>
      <protection locked="0"/>
    </xf>
    <xf numFmtId="0" fontId="62" fillId="0" borderId="0" xfId="62" applyFont="1" applyFill="1" applyBorder="1" applyProtection="1">
      <alignment/>
      <protection/>
    </xf>
    <xf numFmtId="0" fontId="93" fillId="0" borderId="0" xfId="62" applyFill="1" applyProtection="1">
      <alignment/>
      <protection/>
    </xf>
    <xf numFmtId="37" fontId="47" fillId="0" borderId="0" xfId="63" applyNumberFormat="1" applyFont="1" applyFill="1" applyBorder="1" applyAlignment="1" applyProtection="1">
      <alignment/>
      <protection/>
    </xf>
    <xf numFmtId="2" fontId="47" fillId="0" borderId="0" xfId="63" applyNumberFormat="1" applyFont="1" applyFill="1" applyBorder="1" applyAlignment="1" applyProtection="1">
      <alignment/>
      <protection/>
    </xf>
    <xf numFmtId="4" fontId="18" fillId="0" borderId="10" xfId="66" applyNumberFormat="1" applyFont="1" applyBorder="1">
      <alignment/>
      <protection/>
    </xf>
    <xf numFmtId="4" fontId="53" fillId="0" borderId="32" xfId="66" applyNumberFormat="1" applyFont="1" applyBorder="1" applyProtection="1">
      <alignment/>
      <protection locked="0"/>
    </xf>
    <xf numFmtId="3" fontId="10" fillId="0" borderId="24" xfId="66" applyNumberFormat="1" applyFont="1" applyBorder="1" applyProtection="1">
      <alignment/>
      <protection locked="0"/>
    </xf>
    <xf numFmtId="0" fontId="49" fillId="0" borderId="0" xfId="62" applyFont="1" applyFill="1" applyBorder="1" applyAlignment="1" applyProtection="1">
      <alignment/>
      <protection locked="0"/>
    </xf>
    <xf numFmtId="0" fontId="49" fillId="0" borderId="0" xfId="62" applyFont="1" applyFill="1" applyBorder="1" applyAlignment="1" applyProtection="1">
      <alignment/>
      <protection/>
    </xf>
    <xf numFmtId="0" fontId="49" fillId="0" borderId="0" xfId="62" applyFont="1" applyFill="1" applyBorder="1" applyAlignment="1" applyProtection="1">
      <alignment vertical="center"/>
      <protection locked="0"/>
    </xf>
    <xf numFmtId="206" fontId="80" fillId="0" borderId="24" xfId="67" applyNumberFormat="1" applyFont="1" applyFill="1" applyBorder="1" applyAlignment="1" applyProtection="1">
      <alignment horizontal="centerContinuous" shrinkToFit="1"/>
      <protection/>
    </xf>
    <xf numFmtId="206" fontId="80" fillId="0" borderId="14" xfId="67" applyNumberFormat="1" applyFont="1" applyFill="1" applyBorder="1" applyAlignment="1" applyProtection="1">
      <alignment horizontal="centerContinuous" shrinkToFit="1"/>
      <protection/>
    </xf>
    <xf numFmtId="206" fontId="80" fillId="0" borderId="24" xfId="67" applyNumberFormat="1" applyFont="1" applyFill="1" applyBorder="1" applyAlignment="1" applyProtection="1">
      <alignment horizontal="left" shrinkToFit="1"/>
      <protection/>
    </xf>
    <xf numFmtId="206" fontId="80" fillId="0" borderId="33" xfId="67" applyNumberFormat="1" applyFont="1" applyFill="1" applyBorder="1" applyAlignment="1" applyProtection="1">
      <alignment horizontal="left" vertical="center" shrinkToFit="1"/>
      <protection/>
    </xf>
    <xf numFmtId="3" fontId="22" fillId="0" borderId="0" xfId="66" applyNumberFormat="1" applyFont="1" applyBorder="1" applyAlignment="1" applyProtection="1">
      <alignment horizontal="right"/>
      <protection/>
    </xf>
    <xf numFmtId="176" fontId="48" fillId="0" borderId="0" xfId="62" applyNumberFormat="1" applyFont="1" applyFill="1" applyBorder="1" applyAlignment="1" applyProtection="1">
      <alignment horizontal="left"/>
      <protection locked="0"/>
    </xf>
    <xf numFmtId="4" fontId="34" fillId="0" borderId="0" xfId="66" applyNumberFormat="1" applyFont="1">
      <alignment/>
      <protection/>
    </xf>
    <xf numFmtId="2" fontId="28" fillId="0" borderId="0" xfId="66" applyNumberFormat="1" applyFont="1" applyBorder="1" applyProtection="1">
      <alignment/>
      <protection locked="0"/>
    </xf>
    <xf numFmtId="3" fontId="103" fillId="35" borderId="0" xfId="66" applyNumberFormat="1" applyFont="1" applyFill="1">
      <alignment/>
      <protection/>
    </xf>
    <xf numFmtId="3" fontId="104" fillId="35" borderId="0" xfId="66" applyNumberFormat="1" applyFont="1" applyFill="1">
      <alignment/>
      <protection/>
    </xf>
    <xf numFmtId="3" fontId="103" fillId="35" borderId="0" xfId="66" applyNumberFormat="1" applyFont="1" applyFill="1" applyProtection="1">
      <alignment/>
      <protection/>
    </xf>
    <xf numFmtId="2" fontId="105" fillId="35" borderId="0" xfId="66" applyNumberFormat="1" applyFont="1" applyFill="1" applyBorder="1" applyProtection="1">
      <alignment/>
      <protection locked="0"/>
    </xf>
    <xf numFmtId="3" fontId="103" fillId="35" borderId="0" xfId="66" applyNumberFormat="1" applyFont="1" applyFill="1" applyBorder="1" applyProtection="1">
      <alignment/>
      <protection/>
    </xf>
    <xf numFmtId="3" fontId="103" fillId="35" borderId="0" xfId="66" applyNumberFormat="1" applyFont="1" applyFill="1" applyBorder="1">
      <alignment/>
      <protection/>
    </xf>
    <xf numFmtId="3" fontId="103" fillId="0" borderId="0" xfId="66" applyNumberFormat="1" applyFont="1" applyProtection="1">
      <alignment/>
      <protection/>
    </xf>
    <xf numFmtId="2" fontId="105" fillId="0" borderId="0" xfId="66" applyNumberFormat="1" applyFont="1" applyBorder="1" applyProtection="1">
      <alignment/>
      <protection locked="0"/>
    </xf>
    <xf numFmtId="3" fontId="103" fillId="0" borderId="0" xfId="66" applyNumberFormat="1" applyFont="1">
      <alignment/>
      <protection/>
    </xf>
    <xf numFmtId="3" fontId="3" fillId="0" borderId="0" xfId="66" applyNumberFormat="1" applyFill="1">
      <alignment/>
      <protection/>
    </xf>
    <xf numFmtId="3" fontId="104" fillId="0" borderId="0" xfId="66" applyNumberFormat="1" applyFont="1">
      <alignment/>
      <protection/>
    </xf>
    <xf numFmtId="3" fontId="103" fillId="0" borderId="0" xfId="66" applyNumberFormat="1" applyFont="1" applyBorder="1" applyProtection="1">
      <alignment/>
      <protection/>
    </xf>
    <xf numFmtId="3" fontId="103" fillId="0" borderId="0" xfId="66" applyNumberFormat="1" applyFont="1" applyBorder="1">
      <alignment/>
      <protection/>
    </xf>
    <xf numFmtId="2" fontId="28" fillId="0" borderId="13" xfId="66" applyNumberFormat="1" applyFont="1" applyBorder="1" applyProtection="1">
      <alignment/>
      <protection locked="0"/>
    </xf>
    <xf numFmtId="3" fontId="106" fillId="0" borderId="0" xfId="66" applyNumberFormat="1" applyFont="1">
      <alignment/>
      <protection/>
    </xf>
    <xf numFmtId="2" fontId="28" fillId="0" borderId="11" xfId="66" applyNumberFormat="1" applyFont="1" applyBorder="1" applyProtection="1">
      <alignment/>
      <protection/>
    </xf>
    <xf numFmtId="2" fontId="28" fillId="0" borderId="13" xfId="66" applyNumberFormat="1" applyFont="1" applyBorder="1" applyProtection="1">
      <alignment/>
      <protection/>
    </xf>
    <xf numFmtId="3" fontId="3" fillId="0" borderId="0" xfId="66" applyNumberFormat="1" applyFont="1">
      <alignment/>
      <protection/>
    </xf>
    <xf numFmtId="176" fontId="49" fillId="0" borderId="0" xfId="62" applyNumberFormat="1" applyFont="1" applyFill="1" applyBorder="1" applyAlignment="1" applyProtection="1" quotePrefix="1">
      <alignment/>
      <protection/>
    </xf>
    <xf numFmtId="3" fontId="101" fillId="0" borderId="0" xfId="66" applyNumberFormat="1" applyFont="1" applyFill="1" applyAlignment="1" applyProtection="1">
      <alignment horizontal="left"/>
      <protection/>
    </xf>
    <xf numFmtId="167" fontId="64" fillId="0" borderId="14" xfId="67" applyFont="1" applyFill="1" applyBorder="1" applyAlignment="1" applyProtection="1">
      <alignment horizontal="centerContinuous"/>
      <protection/>
    </xf>
    <xf numFmtId="167" fontId="57" fillId="0" borderId="24" xfId="67" applyFont="1" applyFill="1" applyBorder="1" applyAlignment="1" applyProtection="1">
      <alignment horizontal="center"/>
      <protection/>
    </xf>
    <xf numFmtId="167" fontId="72" fillId="0" borderId="24" xfId="67" applyFont="1" applyFill="1" applyBorder="1" applyAlignment="1" applyProtection="1">
      <alignment horizontal="right" vertical="center"/>
      <protection/>
    </xf>
    <xf numFmtId="167" fontId="57" fillId="0" borderId="0" xfId="67" applyFont="1" applyFill="1" applyBorder="1" applyAlignment="1" applyProtection="1">
      <alignment horizontal="left" vertical="center"/>
      <protection/>
    </xf>
    <xf numFmtId="167" fontId="0" fillId="0" borderId="0" xfId="67" applyFont="1" applyFill="1" applyBorder="1" applyAlignment="1" applyProtection="1">
      <alignment horizontal="left" vertical="center"/>
      <protection/>
    </xf>
    <xf numFmtId="207" fontId="107" fillId="0" borderId="25" xfId="67" applyNumberFormat="1" applyFont="1" applyFill="1" applyBorder="1" applyAlignment="1" applyProtection="1">
      <alignment horizontal="left" vertical="center"/>
      <protection/>
    </xf>
    <xf numFmtId="167" fontId="62" fillId="0" borderId="14" xfId="67" applyFont="1" applyFill="1" applyBorder="1" applyAlignment="1" applyProtection="1">
      <alignment vertical="center"/>
      <protection/>
    </xf>
    <xf numFmtId="167" fontId="0" fillId="0" borderId="0" xfId="67" applyFont="1" applyFill="1" applyBorder="1" applyAlignment="1" applyProtection="1">
      <alignment vertical="center"/>
      <protection/>
    </xf>
    <xf numFmtId="167" fontId="57" fillId="0" borderId="0" xfId="67" applyNumberFormat="1" applyFont="1" applyFill="1" applyBorder="1" applyAlignment="1" applyProtection="1">
      <alignment/>
      <protection/>
    </xf>
    <xf numFmtId="167" fontId="57" fillId="0" borderId="32" xfId="67" applyFont="1" applyFill="1" applyBorder="1" applyProtection="1">
      <alignment/>
      <protection/>
    </xf>
    <xf numFmtId="167" fontId="57" fillId="0" borderId="14" xfId="67" applyFont="1" applyFill="1" applyBorder="1" applyAlignment="1" applyProtection="1">
      <alignment horizontal="left" vertical="center"/>
      <protection/>
    </xf>
    <xf numFmtId="3" fontId="36" fillId="35" borderId="48" xfId="66" applyNumberFormat="1" applyFont="1" applyFill="1" applyBorder="1" applyProtection="1">
      <alignment/>
      <protection/>
    </xf>
    <xf numFmtId="3" fontId="25" fillId="35" borderId="48" xfId="66" applyNumberFormat="1" applyFont="1" applyFill="1" applyBorder="1" applyProtection="1">
      <alignment/>
      <protection/>
    </xf>
    <xf numFmtId="3" fontId="37" fillId="0" borderId="48" xfId="66" applyNumberFormat="1" applyFont="1" applyBorder="1" applyProtection="1">
      <alignment/>
      <protection locked="0"/>
    </xf>
    <xf numFmtId="3" fontId="25" fillId="0" borderId="50" xfId="66" applyNumberFormat="1" applyFont="1" applyBorder="1" applyProtection="1">
      <alignment/>
      <protection/>
    </xf>
    <xf numFmtId="3" fontId="25" fillId="0" borderId="49" xfId="66" applyNumberFormat="1" applyFont="1" applyBorder="1" applyProtection="1">
      <alignment/>
      <protection/>
    </xf>
    <xf numFmtId="3" fontId="22" fillId="0" borderId="23" xfId="66" applyNumberFormat="1" applyFont="1" applyBorder="1" applyAlignment="1" applyProtection="1">
      <alignment horizontal="right"/>
      <protection/>
    </xf>
    <xf numFmtId="3" fontId="20" fillId="0" borderId="0" xfId="66" applyNumberFormat="1" applyFont="1" quotePrefix="1">
      <alignment/>
      <protection/>
    </xf>
    <xf numFmtId="3" fontId="18" fillId="0" borderId="21" xfId="66" applyNumberFormat="1" applyFont="1" applyBorder="1" applyProtection="1">
      <alignment/>
      <protection/>
    </xf>
    <xf numFmtId="3" fontId="3" fillId="0" borderId="48" xfId="66" applyNumberFormat="1" applyBorder="1">
      <alignment/>
      <protection/>
    </xf>
    <xf numFmtId="3" fontId="18" fillId="0" borderId="51" xfId="66" applyNumberFormat="1" applyFont="1" applyBorder="1" applyProtection="1">
      <alignment/>
      <protection/>
    </xf>
    <xf numFmtId="3" fontId="18" fillId="0" borderId="52" xfId="66" applyNumberFormat="1" applyFont="1" applyBorder="1" applyProtection="1">
      <alignment/>
      <protection/>
    </xf>
    <xf numFmtId="3" fontId="25" fillId="0" borderId="53" xfId="66" applyNumberFormat="1" applyFont="1" applyBorder="1" applyProtection="1">
      <alignment/>
      <protection/>
    </xf>
    <xf numFmtId="3" fontId="3" fillId="0" borderId="54" xfId="66" applyNumberFormat="1" applyBorder="1">
      <alignment/>
      <protection/>
    </xf>
    <xf numFmtId="3" fontId="36" fillId="0" borderId="0" xfId="66" applyNumberFormat="1" applyFont="1" applyBorder="1" applyProtection="1">
      <alignment/>
      <protection/>
    </xf>
    <xf numFmtId="3" fontId="36" fillId="0" borderId="25" xfId="66" applyNumberFormat="1" applyFont="1" applyBorder="1" applyProtection="1">
      <alignment/>
      <protection/>
    </xf>
    <xf numFmtId="3" fontId="18" fillId="0" borderId="48" xfId="66" applyNumberFormat="1" applyFont="1" applyBorder="1" applyProtection="1">
      <alignment/>
      <protection/>
    </xf>
    <xf numFmtId="3" fontId="34" fillId="0" borderId="21" xfId="66" applyNumberFormat="1" applyFont="1" applyBorder="1" applyProtection="1">
      <alignment/>
      <protection/>
    </xf>
    <xf numFmtId="3" fontId="18" fillId="0" borderId="21" xfId="66" applyNumberFormat="1" applyFont="1" applyBorder="1" applyAlignment="1" applyProtection="1">
      <alignment horizontal="center"/>
      <protection/>
    </xf>
    <xf numFmtId="3" fontId="22" fillId="0" borderId="48" xfId="66" applyNumberFormat="1" applyFont="1" applyBorder="1" applyProtection="1">
      <alignment/>
      <protection/>
    </xf>
    <xf numFmtId="3" fontId="18" fillId="0" borderId="55" xfId="66" applyNumberFormat="1" applyFont="1" applyBorder="1" applyAlignment="1" applyProtection="1">
      <alignment horizontal="right"/>
      <protection/>
    </xf>
    <xf numFmtId="3" fontId="18" fillId="0" borderId="50" xfId="66" applyNumberFormat="1" applyFont="1" applyBorder="1" applyProtection="1">
      <alignment/>
      <protection/>
    </xf>
    <xf numFmtId="3" fontId="108" fillId="0" borderId="0" xfId="66" applyNumberFormat="1" applyFont="1" applyBorder="1" applyAlignment="1" applyProtection="1">
      <alignment horizontal="right"/>
      <protection/>
    </xf>
    <xf numFmtId="3" fontId="22" fillId="0" borderId="56" xfId="66" applyNumberFormat="1" applyFont="1" applyBorder="1" applyProtection="1">
      <alignment/>
      <protection/>
    </xf>
    <xf numFmtId="3" fontId="36" fillId="35" borderId="31" xfId="66" applyNumberFormat="1" applyFont="1" applyFill="1" applyBorder="1" applyProtection="1">
      <alignment/>
      <protection/>
    </xf>
    <xf numFmtId="3" fontId="36" fillId="35" borderId="31" xfId="66" applyNumberFormat="1" applyFont="1" applyFill="1" applyBorder="1" applyProtection="1">
      <alignment/>
      <protection/>
    </xf>
    <xf numFmtId="3" fontId="25" fillId="35" borderId="31" xfId="66" applyNumberFormat="1" applyFont="1" applyFill="1" applyBorder="1" applyProtection="1">
      <alignment/>
      <protection/>
    </xf>
    <xf numFmtId="3" fontId="37" fillId="0" borderId="31" xfId="66" applyNumberFormat="1" applyFont="1" applyBorder="1" applyProtection="1">
      <alignment/>
      <protection locked="0"/>
    </xf>
    <xf numFmtId="3" fontId="25" fillId="0" borderId="57" xfId="66" applyNumberFormat="1" applyFont="1" applyBorder="1" applyAlignment="1" applyProtection="1">
      <alignment horizontal="right"/>
      <protection/>
    </xf>
    <xf numFmtId="3" fontId="25" fillId="35" borderId="57" xfId="66" applyNumberFormat="1" applyFont="1" applyFill="1" applyBorder="1" applyProtection="1">
      <alignment/>
      <protection/>
    </xf>
    <xf numFmtId="3" fontId="22" fillId="0" borderId="31" xfId="66" applyNumberFormat="1" applyFont="1" applyBorder="1" applyProtection="1">
      <alignment/>
      <protection/>
    </xf>
    <xf numFmtId="3" fontId="18" fillId="0" borderId="31" xfId="66" applyNumberFormat="1" applyFont="1" applyBorder="1" applyProtection="1">
      <alignment/>
      <protection/>
    </xf>
    <xf numFmtId="3" fontId="18" fillId="0" borderId="57" xfId="66" applyNumberFormat="1" applyFont="1" applyBorder="1" applyAlignment="1" applyProtection="1">
      <alignment horizontal="right"/>
      <protection/>
    </xf>
    <xf numFmtId="3" fontId="25" fillId="35" borderId="35" xfId="66" applyNumberFormat="1" applyFont="1" applyFill="1" applyBorder="1" applyProtection="1">
      <alignment/>
      <protection/>
    </xf>
    <xf numFmtId="3" fontId="18" fillId="0" borderId="57" xfId="66" applyNumberFormat="1" applyFont="1" applyBorder="1" applyProtection="1">
      <alignment/>
      <protection/>
    </xf>
    <xf numFmtId="3" fontId="23" fillId="0" borderId="58" xfId="66" applyNumberFormat="1" applyFont="1" applyBorder="1" applyProtection="1">
      <alignment/>
      <protection/>
    </xf>
    <xf numFmtId="3" fontId="10" fillId="0" borderId="0" xfId="66" applyNumberFormat="1" applyFont="1" applyBorder="1" applyProtection="1">
      <alignment/>
      <protection locked="0"/>
    </xf>
    <xf numFmtId="0" fontId="69" fillId="0" borderId="24" xfId="62" applyFont="1" applyFill="1" applyBorder="1" applyAlignment="1" applyProtection="1">
      <alignment/>
      <protection/>
    </xf>
    <xf numFmtId="0" fontId="58" fillId="0" borderId="24" xfId="62" applyFont="1" applyFill="1" applyBorder="1" applyAlignment="1" applyProtection="1">
      <alignment vertical="center"/>
      <protection/>
    </xf>
    <xf numFmtId="0" fontId="57" fillId="0" borderId="0" xfId="62" applyFont="1" applyFill="1" applyBorder="1" applyAlignment="1" applyProtection="1">
      <alignment horizontal="left"/>
      <protection/>
    </xf>
    <xf numFmtId="0" fontId="93" fillId="0" borderId="24" xfId="62" applyFill="1" applyBorder="1" applyAlignment="1" applyProtection="1">
      <alignment vertical="center"/>
      <protection/>
    </xf>
    <xf numFmtId="37" fontId="47" fillId="0" borderId="34" xfId="63" applyNumberFormat="1" applyFont="1" applyFill="1" applyBorder="1" applyAlignment="1" applyProtection="1">
      <alignment/>
      <protection/>
    </xf>
    <xf numFmtId="0" fontId="57" fillId="0" borderId="0" xfId="63" applyFont="1" applyFill="1" applyBorder="1" applyAlignment="1" applyProtection="1">
      <alignment vertical="top"/>
      <protection locked="0"/>
    </xf>
    <xf numFmtId="0" fontId="100" fillId="0" borderId="24" xfId="62" applyFont="1" applyFill="1" applyBorder="1" applyAlignment="1" applyProtection="1">
      <alignment/>
      <protection/>
    </xf>
    <xf numFmtId="0" fontId="58" fillId="0" borderId="24" xfId="62" applyFont="1" applyFill="1" applyBorder="1" applyAlignment="1" applyProtection="1">
      <alignment/>
      <protection/>
    </xf>
    <xf numFmtId="0" fontId="57" fillId="0" borderId="25" xfId="64" applyFont="1" applyFill="1" applyBorder="1" applyAlignment="1" applyProtection="1">
      <alignment vertical="center"/>
      <protection/>
    </xf>
    <xf numFmtId="0" fontId="73" fillId="0" borderId="25" xfId="64" applyFont="1" applyFill="1" applyBorder="1" applyAlignment="1" applyProtection="1">
      <alignment horizontal="right" vertical="center"/>
      <protection/>
    </xf>
    <xf numFmtId="0" fontId="51" fillId="0" borderId="25" xfId="64" applyFont="1" applyFill="1" applyBorder="1" applyAlignment="1" applyProtection="1">
      <alignment vertical="top"/>
      <protection locked="0"/>
    </xf>
    <xf numFmtId="0" fontId="73" fillId="0" borderId="25" xfId="62" applyFont="1" applyFill="1" applyBorder="1" applyAlignment="1" applyProtection="1">
      <alignment vertical="center"/>
      <protection/>
    </xf>
    <xf numFmtId="0" fontId="63" fillId="0" borderId="25" xfId="64" applyFont="1" applyFill="1" applyBorder="1" applyAlignment="1" applyProtection="1">
      <alignment horizontal="right" vertical="center"/>
      <protection/>
    </xf>
    <xf numFmtId="0" fontId="57" fillId="0" borderId="0" xfId="62" applyFont="1" applyFill="1" applyBorder="1" applyAlignment="1" applyProtection="1">
      <alignment horizontal="centerContinuous"/>
      <protection/>
    </xf>
    <xf numFmtId="3" fontId="23" fillId="0" borderId="0" xfId="66" applyNumberFormat="1" applyFont="1" applyBorder="1" applyProtection="1">
      <alignment/>
      <protection locked="0"/>
    </xf>
    <xf numFmtId="3" fontId="109" fillId="0" borderId="0" xfId="66" applyNumberFormat="1" applyFont="1" applyBorder="1" applyAlignment="1" applyProtection="1">
      <alignment horizontal="centerContinuous"/>
      <protection/>
    </xf>
    <xf numFmtId="3" fontId="3" fillId="0" borderId="0" xfId="66" applyNumberFormat="1" applyBorder="1" applyAlignment="1">
      <alignment horizontal="centerContinuous"/>
      <protection/>
    </xf>
    <xf numFmtId="3" fontId="18" fillId="0" borderId="0" xfId="66" applyNumberFormat="1" applyFont="1" applyAlignment="1">
      <alignment horizontal="centerContinuous"/>
      <protection/>
    </xf>
    <xf numFmtId="3" fontId="3" fillId="0" borderId="0" xfId="66" applyNumberFormat="1" applyAlignment="1">
      <alignment horizontal="centerContinuous"/>
      <protection/>
    </xf>
    <xf numFmtId="3" fontId="18" fillId="0" borderId="0" xfId="66" applyNumberFormat="1" applyFont="1" applyBorder="1" applyAlignment="1">
      <alignment horizontal="centerContinuous"/>
      <protection/>
    </xf>
    <xf numFmtId="3" fontId="23" fillId="0" borderId="59" xfId="66" applyNumberFormat="1" applyFont="1" applyBorder="1" applyProtection="1">
      <alignment/>
      <protection/>
    </xf>
    <xf numFmtId="3" fontId="25" fillId="0" borderId="48" xfId="66" applyNumberFormat="1" applyFont="1" applyBorder="1" applyProtection="1">
      <alignment/>
      <protection/>
    </xf>
    <xf numFmtId="176" fontId="23" fillId="35" borderId="0" xfId="66" applyNumberFormat="1" applyFont="1" applyFill="1" applyBorder="1" applyProtection="1" quotePrefix="1">
      <alignment/>
      <protection locked="0"/>
    </xf>
    <xf numFmtId="3" fontId="22" fillId="0" borderId="48" xfId="66" applyNumberFormat="1" applyFont="1" applyBorder="1" applyAlignment="1" applyProtection="1">
      <alignment horizontal="right"/>
      <protection/>
    </xf>
    <xf numFmtId="167" fontId="57" fillId="0" borderId="24" xfId="67" applyFont="1" applyFill="1" applyBorder="1" applyAlignment="1" applyProtection="1">
      <alignment horizontal="right" vertical="top"/>
      <protection/>
    </xf>
    <xf numFmtId="3" fontId="105" fillId="0" borderId="0" xfId="66" applyNumberFormat="1" applyFont="1" applyProtection="1">
      <alignment/>
      <protection/>
    </xf>
    <xf numFmtId="0" fontId="52" fillId="0" borderId="0" xfId="0" applyFont="1" applyAlignment="1">
      <alignment/>
    </xf>
    <xf numFmtId="0" fontId="111" fillId="0" borderId="0" xfId="0" applyFont="1" applyBorder="1" applyAlignment="1">
      <alignment horizontal="center" vertical="top"/>
    </xf>
    <xf numFmtId="0" fontId="52" fillId="0" borderId="13" xfId="0" applyFont="1" applyBorder="1" applyAlignment="1">
      <alignment horizontal="center" wrapText="1"/>
    </xf>
    <xf numFmtId="0" fontId="52" fillId="0" borderId="11" xfId="0" applyFont="1" applyBorder="1" applyAlignment="1">
      <alignment horizontal="center" vertical="top" wrapText="1"/>
    </xf>
    <xf numFmtId="0" fontId="111" fillId="0" borderId="0" xfId="0" applyFont="1" applyBorder="1" applyAlignment="1">
      <alignment horizontal="center"/>
    </xf>
    <xf numFmtId="0" fontId="111" fillId="0" borderId="13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64" fillId="0" borderId="11" xfId="0" applyFont="1" applyBorder="1" applyAlignment="1">
      <alignment/>
    </xf>
    <xf numFmtId="0" fontId="52" fillId="0" borderId="10" xfId="0" applyFont="1" applyBorder="1" applyAlignment="1">
      <alignment/>
    </xf>
    <xf numFmtId="0" fontId="57" fillId="0" borderId="0" xfId="0" applyFont="1" applyAlignment="1">
      <alignment horizontal="left"/>
    </xf>
    <xf numFmtId="0" fontId="0" fillId="0" borderId="24" xfId="0" applyBorder="1" applyAlignment="1">
      <alignment/>
    </xf>
    <xf numFmtId="0" fontId="63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177" fontId="0" fillId="0" borderId="0" xfId="0" applyNumberFormat="1" applyAlignment="1">
      <alignment/>
    </xf>
    <xf numFmtId="42" fontId="0" fillId="0" borderId="60" xfId="45" applyNumberFormat="1" applyFont="1" applyBorder="1" applyAlignment="1">
      <alignment/>
    </xf>
    <xf numFmtId="167" fontId="112" fillId="0" borderId="0" xfId="67" applyFont="1" applyFill="1" applyBorder="1" applyAlignment="1" applyProtection="1">
      <alignment horizontal="left" vertical="center"/>
      <protection/>
    </xf>
    <xf numFmtId="167" fontId="113" fillId="0" borderId="0" xfId="67" applyFont="1" applyFill="1" applyBorder="1" applyAlignment="1" applyProtection="1">
      <alignment vertical="center"/>
      <protection/>
    </xf>
    <xf numFmtId="167" fontId="68" fillId="0" borderId="32" xfId="67" applyFont="1" applyFill="1" applyBorder="1" applyAlignment="1" applyProtection="1">
      <alignment vertical="center"/>
      <protection/>
    </xf>
    <xf numFmtId="167" fontId="112" fillId="0" borderId="0" xfId="67" applyFont="1" applyFill="1" applyBorder="1" applyAlignment="1" applyProtection="1">
      <alignment vertical="center"/>
      <protection locked="0"/>
    </xf>
    <xf numFmtId="167" fontId="112" fillId="0" borderId="0" xfId="67" applyFont="1" applyFill="1" applyBorder="1" applyAlignment="1" applyProtection="1">
      <alignment vertical="center"/>
      <protection/>
    </xf>
    <xf numFmtId="167" fontId="81" fillId="0" borderId="0" xfId="55" applyNumberFormat="1" applyFont="1" applyFill="1" applyBorder="1" applyAlignment="1" applyProtection="1">
      <alignment horizontal="left" vertical="center"/>
      <protection/>
    </xf>
    <xf numFmtId="176" fontId="68" fillId="0" borderId="0" xfId="67" applyNumberFormat="1" applyFont="1" applyFill="1" applyBorder="1" applyAlignment="1" applyProtection="1">
      <alignment vertical="center"/>
      <protection/>
    </xf>
    <xf numFmtId="167" fontId="68" fillId="0" borderId="27" xfId="67" applyFont="1" applyFill="1" applyBorder="1" applyAlignment="1" applyProtection="1">
      <alignment vertical="center"/>
      <protection/>
    </xf>
    <xf numFmtId="167" fontId="68" fillId="0" borderId="0" xfId="67" applyFont="1" applyFill="1" applyBorder="1" applyAlignment="1" applyProtection="1">
      <alignment horizontal="left" vertical="center"/>
      <protection/>
    </xf>
    <xf numFmtId="167" fontId="68" fillId="0" borderId="0" xfId="67" applyFont="1" applyFill="1" applyBorder="1" applyAlignment="1" applyProtection="1">
      <alignment vertical="center"/>
      <protection locked="0"/>
    </xf>
    <xf numFmtId="3" fontId="0" fillId="0" borderId="24" xfId="66" applyNumberFormat="1" applyFont="1" applyBorder="1" applyAlignment="1" applyProtection="1">
      <alignment horizontal="left"/>
      <protection/>
    </xf>
    <xf numFmtId="0" fontId="0" fillId="0" borderId="0" xfId="62" applyFont="1" applyFill="1" applyBorder="1" applyAlignment="1" applyProtection="1">
      <alignment/>
      <protection/>
    </xf>
    <xf numFmtId="0" fontId="114" fillId="0" borderId="0" xfId="62" applyFont="1" applyFill="1" applyBorder="1" applyAlignment="1" applyProtection="1">
      <alignment vertical="center"/>
      <protection/>
    </xf>
    <xf numFmtId="0" fontId="0" fillId="0" borderId="0" xfId="62" applyFont="1" applyFill="1" applyBorder="1" applyAlignment="1" applyProtection="1">
      <alignment vertical="center"/>
      <protection/>
    </xf>
    <xf numFmtId="0" fontId="114" fillId="0" borderId="0" xfId="62" applyFont="1" applyFill="1" applyBorder="1" applyAlignment="1" applyProtection="1">
      <alignment vertical="top"/>
      <protection/>
    </xf>
    <xf numFmtId="0" fontId="0" fillId="0" borderId="0" xfId="63" applyFont="1" applyFill="1" applyProtection="1">
      <alignment/>
      <protection/>
    </xf>
    <xf numFmtId="167" fontId="0" fillId="0" borderId="0" xfId="67" applyFont="1" applyFill="1" applyProtection="1">
      <alignment/>
      <protection/>
    </xf>
    <xf numFmtId="0" fontId="0" fillId="0" borderId="0" xfId="62" applyFont="1" applyFill="1" applyBorder="1" applyProtection="1">
      <alignment/>
      <protection/>
    </xf>
    <xf numFmtId="0" fontId="0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 horizontal="right"/>
      <protection/>
    </xf>
    <xf numFmtId="0" fontId="0" fillId="0" borderId="0" xfId="63" applyFont="1" applyFill="1" applyAlignment="1" applyProtection="1">
      <alignment horizontal="centerContinuous"/>
      <protection/>
    </xf>
    <xf numFmtId="0" fontId="0" fillId="0" borderId="0" xfId="63" applyFont="1" applyFill="1" applyAlignment="1" applyProtection="1">
      <alignment vertical="center"/>
      <protection/>
    </xf>
    <xf numFmtId="0" fontId="0" fillId="0" borderId="0" xfId="63" applyFont="1" applyFill="1" applyBorder="1" applyProtection="1">
      <alignment/>
      <protection/>
    </xf>
    <xf numFmtId="0" fontId="0" fillId="0" borderId="0" xfId="63" applyFont="1" applyFill="1" applyBorder="1" applyAlignment="1" applyProtection="1">
      <alignment vertical="top"/>
      <protection/>
    </xf>
    <xf numFmtId="0" fontId="115" fillId="0" borderId="0" xfId="63" applyFont="1" applyFill="1" applyAlignment="1" applyProtection="1">
      <alignment vertical="center"/>
      <protection/>
    </xf>
    <xf numFmtId="0" fontId="60" fillId="0" borderId="0" xfId="62" applyFont="1" applyFill="1" applyBorder="1" applyAlignment="1" applyProtection="1">
      <alignment horizontal="center"/>
      <protection/>
    </xf>
    <xf numFmtId="176" fontId="23" fillId="0" borderId="0" xfId="66" applyNumberFormat="1" applyFont="1">
      <alignment/>
      <protection/>
    </xf>
    <xf numFmtId="3" fontId="39" fillId="0" borderId="23" xfId="66" applyNumberFormat="1" applyFont="1" applyBorder="1" applyAlignment="1" applyProtection="1">
      <alignment horizontal="left" vertical="center" indent="1"/>
      <protection/>
    </xf>
    <xf numFmtId="3" fontId="39" fillId="0" borderId="23" xfId="66" applyNumberFormat="1" applyFont="1" applyBorder="1" applyAlignment="1" applyProtection="1">
      <alignment horizontal="left" vertical="top" indent="1"/>
      <protection/>
    </xf>
    <xf numFmtId="3" fontId="39" fillId="0" borderId="0" xfId="66" applyNumberFormat="1" applyFont="1" applyBorder="1" applyAlignment="1" applyProtection="1">
      <alignment horizontal="left" vertical="center" indent="1"/>
      <protection/>
    </xf>
    <xf numFmtId="3" fontId="39" fillId="0" borderId="40" xfId="66" applyNumberFormat="1" applyFont="1" applyBorder="1" applyAlignment="1" applyProtection="1">
      <alignment horizontal="center"/>
      <protection/>
    </xf>
    <xf numFmtId="3" fontId="33" fillId="0" borderId="61" xfId="66" applyNumberFormat="1" applyFont="1" applyBorder="1" applyAlignment="1" applyProtection="1">
      <alignment horizontal="center" vertical="center"/>
      <protection/>
    </xf>
    <xf numFmtId="3" fontId="116" fillId="0" borderId="25" xfId="66" applyNumberFormat="1" applyFont="1" applyBorder="1" applyProtection="1">
      <alignment/>
      <protection/>
    </xf>
    <xf numFmtId="3" fontId="116" fillId="0" borderId="23" xfId="66" applyNumberFormat="1" applyFont="1" applyBorder="1" applyProtection="1">
      <alignment/>
      <protection/>
    </xf>
    <xf numFmtId="3" fontId="39" fillId="0" borderId="0" xfId="66" applyNumberFormat="1" applyFont="1" applyBorder="1" applyAlignment="1" applyProtection="1">
      <alignment horizontal="left"/>
      <protection/>
    </xf>
    <xf numFmtId="3" fontId="107" fillId="35" borderId="62" xfId="66" applyNumberFormat="1" applyFont="1" applyFill="1" applyBorder="1" applyAlignment="1" applyProtection="1">
      <alignment horizontal="right"/>
      <protection/>
    </xf>
    <xf numFmtId="3" fontId="107" fillId="35" borderId="63" xfId="66" applyNumberFormat="1" applyFont="1" applyFill="1" applyBorder="1" applyAlignment="1" applyProtection="1">
      <alignment horizontal="right"/>
      <protection/>
    </xf>
    <xf numFmtId="3" fontId="107" fillId="35" borderId="28" xfId="66" applyNumberFormat="1" applyFont="1" applyFill="1" applyBorder="1" applyAlignment="1" applyProtection="1">
      <alignment horizontal="right"/>
      <protection/>
    </xf>
    <xf numFmtId="3" fontId="107" fillId="35" borderId="27" xfId="66" applyNumberFormat="1" applyFont="1" applyFill="1" applyBorder="1" applyAlignment="1" applyProtection="1">
      <alignment horizontal="right"/>
      <protection/>
    </xf>
    <xf numFmtId="3" fontId="106" fillId="0" borderId="0" xfId="66" applyNumberFormat="1" applyFont="1" applyProtection="1">
      <alignment/>
      <protection/>
    </xf>
    <xf numFmtId="3" fontId="116" fillId="0" borderId="0" xfId="66" applyNumberFormat="1" applyFont="1" applyProtection="1">
      <alignment/>
      <protection/>
    </xf>
    <xf numFmtId="3" fontId="116" fillId="0" borderId="0" xfId="66" applyNumberFormat="1" applyFont="1" applyAlignment="1" applyProtection="1">
      <alignment horizontal="left"/>
      <protection/>
    </xf>
    <xf numFmtId="167" fontId="112" fillId="0" borderId="24" xfId="67" applyFont="1" applyFill="1" applyBorder="1" applyAlignment="1" applyProtection="1">
      <alignment vertical="center"/>
      <protection locked="0"/>
    </xf>
    <xf numFmtId="167" fontId="107" fillId="0" borderId="24" xfId="67" applyFont="1" applyFill="1" applyBorder="1" applyAlignment="1" applyProtection="1">
      <alignment vertical="center"/>
      <protection locked="0"/>
    </xf>
    <xf numFmtId="167" fontId="117" fillId="0" borderId="24" xfId="67" applyFont="1" applyFill="1" applyBorder="1" applyProtection="1">
      <alignment/>
      <protection/>
    </xf>
    <xf numFmtId="167" fontId="118" fillId="0" borderId="24" xfId="67" applyFont="1" applyFill="1" applyBorder="1" applyAlignment="1" applyProtection="1">
      <alignment vertical="center"/>
      <protection/>
    </xf>
    <xf numFmtId="167" fontId="112" fillId="0" borderId="24" xfId="67" applyFont="1" applyFill="1" applyBorder="1" applyAlignment="1" applyProtection="1">
      <alignment vertical="center"/>
      <protection/>
    </xf>
    <xf numFmtId="167" fontId="112" fillId="0" borderId="33" xfId="67" applyFont="1" applyFill="1" applyBorder="1" applyAlignment="1" applyProtection="1">
      <alignment vertical="center"/>
      <protection/>
    </xf>
    <xf numFmtId="167" fontId="118" fillId="0" borderId="14" xfId="67" applyFont="1" applyFill="1" applyBorder="1" applyAlignment="1" applyProtection="1">
      <alignment horizontal="centerContinuous"/>
      <protection/>
    </xf>
    <xf numFmtId="167" fontId="112" fillId="0" borderId="24" xfId="67" applyFont="1" applyFill="1" applyBorder="1" applyAlignment="1" applyProtection="1">
      <alignment horizontal="left"/>
      <protection locked="0"/>
    </xf>
    <xf numFmtId="167" fontId="118" fillId="0" borderId="24" xfId="67" applyFont="1" applyFill="1" applyBorder="1" applyAlignment="1" applyProtection="1">
      <alignment horizontal="centerContinuous"/>
      <protection/>
    </xf>
    <xf numFmtId="167" fontId="118" fillId="0" borderId="33" xfId="67" applyFont="1" applyFill="1" applyBorder="1" applyAlignment="1" applyProtection="1">
      <alignment horizontal="centerContinuous"/>
      <protection/>
    </xf>
    <xf numFmtId="167" fontId="119" fillId="0" borderId="14" xfId="67" applyFont="1" applyFill="1" applyBorder="1" applyAlignment="1" applyProtection="1">
      <alignment horizontal="centerContinuous"/>
      <protection/>
    </xf>
    <xf numFmtId="167" fontId="112" fillId="0" borderId="27" xfId="67" applyFont="1" applyFill="1" applyBorder="1" applyAlignment="1" applyProtection="1">
      <alignment vertical="center"/>
      <protection/>
    </xf>
    <xf numFmtId="167" fontId="112" fillId="0" borderId="0" xfId="67" applyFont="1" applyFill="1" applyBorder="1" applyAlignment="1" applyProtection="1">
      <alignment horizontal="left" vertical="center"/>
      <protection locked="0"/>
    </xf>
    <xf numFmtId="167" fontId="120" fillId="0" borderId="24" xfId="67" applyFont="1" applyFill="1" applyBorder="1" applyAlignment="1" applyProtection="1">
      <alignment vertical="center"/>
      <protection/>
    </xf>
    <xf numFmtId="167" fontId="68" fillId="0" borderId="24" xfId="67" applyFont="1" applyFill="1" applyBorder="1" applyAlignment="1" applyProtection="1">
      <alignment vertical="center"/>
      <protection/>
    </xf>
    <xf numFmtId="167" fontId="68" fillId="0" borderId="33" xfId="67" applyFont="1" applyFill="1" applyBorder="1" applyAlignment="1" applyProtection="1">
      <alignment vertical="center"/>
      <protection/>
    </xf>
    <xf numFmtId="167" fontId="107" fillId="0" borderId="0" xfId="67" applyFont="1" applyFill="1" applyBorder="1" applyAlignment="1" applyProtection="1">
      <alignment vertical="center"/>
      <protection/>
    </xf>
    <xf numFmtId="167" fontId="57" fillId="0" borderId="27" xfId="67" applyFont="1" applyFill="1" applyBorder="1" applyAlignment="1" applyProtection="1">
      <alignment vertical="top" wrapText="1"/>
      <protection/>
    </xf>
    <xf numFmtId="167" fontId="121" fillId="0" borderId="0" xfId="55" applyNumberFormat="1" applyFont="1" applyFill="1" applyBorder="1" applyAlignment="1" applyProtection="1" quotePrefix="1">
      <alignment vertical="center"/>
      <protection/>
    </xf>
    <xf numFmtId="3" fontId="107" fillId="0" borderId="44" xfId="66" applyNumberFormat="1" applyFont="1" applyBorder="1" applyAlignment="1" applyProtection="1">
      <alignment horizontal="right"/>
      <protection/>
    </xf>
    <xf numFmtId="3" fontId="107" fillId="35" borderId="33" xfId="66" applyNumberFormat="1" applyFont="1" applyFill="1" applyBorder="1" applyAlignment="1" applyProtection="1">
      <alignment horizontal="right"/>
      <protection/>
    </xf>
    <xf numFmtId="3" fontId="107" fillId="35" borderId="24" xfId="66" applyNumberFormat="1" applyFont="1" applyFill="1" applyBorder="1" applyAlignment="1" applyProtection="1">
      <alignment horizontal="right"/>
      <protection/>
    </xf>
    <xf numFmtId="3" fontId="107" fillId="35" borderId="32" xfId="66" applyNumberFormat="1" applyFont="1" applyFill="1" applyBorder="1" applyAlignment="1" applyProtection="1">
      <alignment horizontal="right"/>
      <protection/>
    </xf>
    <xf numFmtId="3" fontId="107" fillId="35" borderId="0" xfId="66" applyNumberFormat="1" applyFont="1" applyFill="1" applyBorder="1" applyAlignment="1" applyProtection="1">
      <alignment horizontal="right"/>
      <protection/>
    </xf>
    <xf numFmtId="3" fontId="107" fillId="0" borderId="0" xfId="66" applyNumberFormat="1" applyFont="1" applyBorder="1" applyAlignment="1" applyProtection="1">
      <alignment horizontal="right"/>
      <protection/>
    </xf>
    <xf numFmtId="3" fontId="107" fillId="35" borderId="13" xfId="66" applyNumberFormat="1" applyFont="1" applyFill="1" applyBorder="1" applyAlignment="1" applyProtection="1">
      <alignment horizontal="right"/>
      <protection/>
    </xf>
    <xf numFmtId="3" fontId="107" fillId="35" borderId="12" xfId="66" applyNumberFormat="1" applyFont="1" applyFill="1" applyBorder="1" applyAlignment="1" applyProtection="1">
      <alignment horizontal="right"/>
      <protection/>
    </xf>
    <xf numFmtId="3" fontId="107" fillId="0" borderId="64" xfId="66" applyNumberFormat="1" applyFont="1" applyBorder="1" applyAlignment="1" applyProtection="1">
      <alignment horizontal="right"/>
      <protection/>
    </xf>
    <xf numFmtId="3" fontId="107" fillId="0" borderId="65" xfId="66" applyNumberFormat="1" applyFont="1" applyBorder="1" applyAlignment="1" applyProtection="1">
      <alignment horizontal="right"/>
      <protection/>
    </xf>
    <xf numFmtId="3" fontId="107" fillId="0" borderId="61" xfId="66" applyNumberFormat="1" applyFont="1" applyBorder="1" applyAlignment="1" applyProtection="1">
      <alignment horizontal="right"/>
      <protection/>
    </xf>
    <xf numFmtId="3" fontId="107" fillId="0" borderId="40" xfId="66" applyNumberFormat="1" applyFont="1" applyBorder="1" applyAlignment="1" applyProtection="1">
      <alignment horizontal="right"/>
      <protection/>
    </xf>
    <xf numFmtId="3" fontId="17" fillId="35" borderId="66" xfId="66" applyNumberFormat="1" applyFont="1" applyFill="1" applyBorder="1" applyProtection="1">
      <alignment/>
      <protection/>
    </xf>
    <xf numFmtId="177" fontId="107" fillId="0" borderId="67" xfId="66" applyNumberFormat="1" applyFont="1" applyBorder="1" applyAlignment="1" applyProtection="1">
      <alignment horizontal="right"/>
      <protection/>
    </xf>
    <xf numFmtId="3" fontId="37" fillId="0" borderId="0" xfId="66" applyNumberFormat="1" applyFont="1">
      <alignment/>
      <protection/>
    </xf>
    <xf numFmtId="3" fontId="3" fillId="0" borderId="24" xfId="66" applyNumberFormat="1" applyBorder="1">
      <alignment/>
      <protection/>
    </xf>
    <xf numFmtId="3" fontId="27" fillId="0" borderId="0" xfId="66" applyNumberFormat="1" applyFont="1" applyBorder="1" applyAlignment="1" applyProtection="1">
      <alignment horizontal="left"/>
      <protection/>
    </xf>
    <xf numFmtId="0" fontId="49" fillId="0" borderId="24" xfId="62" applyFont="1" applyFill="1" applyBorder="1" applyAlignment="1" applyProtection="1">
      <alignment horizontal="right" vertical="center"/>
      <protection/>
    </xf>
    <xf numFmtId="0" fontId="0" fillId="0" borderId="24" xfId="62" applyFont="1" applyFill="1" applyBorder="1" applyAlignment="1" applyProtection="1">
      <alignment vertical="center"/>
      <protection/>
    </xf>
    <xf numFmtId="0" fontId="57" fillId="0" borderId="24" xfId="62" applyFont="1" applyFill="1" applyBorder="1" applyAlignment="1" applyProtection="1">
      <alignment vertical="center"/>
      <protection/>
    </xf>
    <xf numFmtId="0" fontId="57" fillId="0" borderId="24" xfId="62" applyFont="1" applyFill="1" applyBorder="1" applyAlignment="1" applyProtection="1">
      <alignment horizontal="left" vertical="center"/>
      <protection/>
    </xf>
    <xf numFmtId="167" fontId="13" fillId="0" borderId="0" xfId="66" applyFont="1" applyFill="1" applyBorder="1" applyProtection="1">
      <alignment/>
      <protection/>
    </xf>
    <xf numFmtId="173" fontId="13" fillId="0" borderId="0" xfId="42" applyNumberFormat="1" applyFont="1" applyFill="1" applyBorder="1" applyAlignment="1" applyProtection="1">
      <alignment/>
      <protection/>
    </xf>
    <xf numFmtId="0" fontId="64" fillId="0" borderId="0" xfId="62" applyFont="1" applyFill="1" applyBorder="1" applyAlignment="1" applyProtection="1">
      <alignment/>
      <protection/>
    </xf>
    <xf numFmtId="167" fontId="57" fillId="0" borderId="0" xfId="67" applyFont="1" applyFill="1" applyBorder="1" applyAlignment="1" applyProtection="1">
      <alignment horizontal="left" vertical="top"/>
      <protection/>
    </xf>
    <xf numFmtId="0" fontId="57" fillId="0" borderId="0" xfId="62" applyFont="1" applyFill="1" applyBorder="1" applyAlignment="1" applyProtection="1">
      <alignment wrapText="1"/>
      <protection/>
    </xf>
    <xf numFmtId="167" fontId="73" fillId="0" borderId="48" xfId="67" applyFont="1" applyFill="1" applyBorder="1" applyAlignment="1" applyProtection="1">
      <alignment horizontal="left"/>
      <protection/>
    </xf>
    <xf numFmtId="167" fontId="62" fillId="0" borderId="48" xfId="67" applyFont="1" applyFill="1" applyBorder="1" applyAlignment="1" applyProtection="1">
      <alignment vertical="center"/>
      <protection/>
    </xf>
    <xf numFmtId="167" fontId="76" fillId="0" borderId="32" xfId="67" applyFont="1" applyFill="1" applyBorder="1" applyAlignment="1" applyProtection="1">
      <alignment/>
      <protection/>
    </xf>
    <xf numFmtId="167" fontId="70" fillId="0" borderId="0" xfId="67" applyFont="1" applyFill="1" applyBorder="1" applyAlignment="1" applyProtection="1">
      <alignment/>
      <protection/>
    </xf>
    <xf numFmtId="167" fontId="71" fillId="0" borderId="0" xfId="67" applyFont="1" applyFill="1" applyBorder="1" applyAlignment="1" applyProtection="1" quotePrefix="1">
      <alignment vertical="top"/>
      <protection/>
    </xf>
    <xf numFmtId="167" fontId="67" fillId="0" borderId="24" xfId="67" applyFont="1" applyFill="1" applyBorder="1" applyAlignment="1" applyProtection="1">
      <alignment vertical="center"/>
      <protection/>
    </xf>
    <xf numFmtId="167" fontId="67" fillId="0" borderId="33" xfId="67" applyFont="1" applyFill="1" applyBorder="1" applyAlignment="1" applyProtection="1">
      <alignment vertical="center"/>
      <protection/>
    </xf>
    <xf numFmtId="176" fontId="57" fillId="0" borderId="48" xfId="67" applyNumberFormat="1" applyFont="1" applyFill="1" applyBorder="1" applyAlignment="1" applyProtection="1">
      <alignment horizontal="left" vertical="center"/>
      <protection/>
    </xf>
    <xf numFmtId="167" fontId="48" fillId="0" borderId="48" xfId="67" applyFont="1" applyFill="1" applyBorder="1" applyAlignment="1" applyProtection="1">
      <alignment horizontal="center" vertical="center"/>
      <protection/>
    </xf>
    <xf numFmtId="211" fontId="73" fillId="0" borderId="48" xfId="67" applyNumberFormat="1" applyFont="1" applyFill="1" applyBorder="1" applyAlignment="1" applyProtection="1">
      <alignment horizontal="left"/>
      <protection locked="0"/>
    </xf>
    <xf numFmtId="167" fontId="49" fillId="0" borderId="48" xfId="67" applyFont="1" applyFill="1" applyBorder="1" applyAlignment="1" applyProtection="1">
      <alignment horizontal="centerContinuous" vertical="center"/>
      <protection/>
    </xf>
    <xf numFmtId="176" fontId="48" fillId="0" borderId="48" xfId="67" applyNumberFormat="1" applyFont="1" applyFill="1" applyBorder="1" applyAlignment="1" applyProtection="1">
      <alignment horizontal="left" vertical="center"/>
      <protection/>
    </xf>
    <xf numFmtId="167" fontId="48" fillId="0" borderId="48" xfId="67" applyFont="1" applyFill="1" applyBorder="1" applyAlignment="1" applyProtection="1">
      <alignment horizontal="left" vertical="center"/>
      <protection locked="0"/>
    </xf>
    <xf numFmtId="167" fontId="74" fillId="0" borderId="50" xfId="67" applyFont="1" applyFill="1" applyBorder="1" applyAlignment="1" applyProtection="1">
      <alignment horizontal="centerContinuous" vertical="center"/>
      <protection/>
    </xf>
    <xf numFmtId="167" fontId="57" fillId="0" borderId="27" xfId="67" applyFont="1" applyFill="1" applyBorder="1" applyAlignment="1" applyProtection="1">
      <alignment vertical="top"/>
      <protection locked="0"/>
    </xf>
    <xf numFmtId="167" fontId="57" fillId="0" borderId="25" xfId="67" applyFont="1" applyFill="1" applyBorder="1" applyAlignment="1" applyProtection="1">
      <alignment horizontal="center"/>
      <protection/>
    </xf>
    <xf numFmtId="167" fontId="62" fillId="0" borderId="25" xfId="67" applyFont="1" applyFill="1" applyBorder="1" applyProtection="1">
      <alignment/>
      <protection/>
    </xf>
    <xf numFmtId="167" fontId="72" fillId="0" borderId="25" xfId="67" applyFont="1" applyFill="1" applyBorder="1" applyAlignment="1" applyProtection="1">
      <alignment horizontal="right" vertical="center"/>
      <protection/>
    </xf>
    <xf numFmtId="167" fontId="60" fillId="0" borderId="25" xfId="67" applyFont="1" applyFill="1" applyBorder="1" applyProtection="1">
      <alignment/>
      <protection/>
    </xf>
    <xf numFmtId="167" fontId="71" fillId="0" borderId="25" xfId="67" applyFont="1" applyFill="1" applyBorder="1" applyAlignment="1" applyProtection="1" quotePrefix="1">
      <alignment vertical="top"/>
      <protection/>
    </xf>
    <xf numFmtId="167" fontId="69" fillId="0" borderId="25" xfId="67" applyFont="1" applyFill="1" applyBorder="1" applyAlignment="1" applyProtection="1">
      <alignment vertical="top"/>
      <protection/>
    </xf>
    <xf numFmtId="167" fontId="71" fillId="0" borderId="25" xfId="67" applyFont="1" applyFill="1" applyBorder="1" applyAlignment="1" applyProtection="1">
      <alignment vertical="top"/>
      <protection/>
    </xf>
    <xf numFmtId="167" fontId="70" fillId="0" borderId="32" xfId="67" applyFont="1" applyFill="1" applyBorder="1" applyAlignment="1" applyProtection="1">
      <alignment vertical="top"/>
      <protection/>
    </xf>
    <xf numFmtId="167" fontId="69" fillId="0" borderId="47" xfId="67" applyFont="1" applyFill="1" applyBorder="1" applyAlignment="1" applyProtection="1">
      <alignment vertical="top"/>
      <protection/>
    </xf>
    <xf numFmtId="167" fontId="69" fillId="0" borderId="33" xfId="67" applyFont="1" applyFill="1" applyBorder="1" applyAlignment="1" applyProtection="1">
      <alignment vertical="top"/>
      <protection/>
    </xf>
    <xf numFmtId="167" fontId="60" fillId="0" borderId="14" xfId="67" applyFont="1" applyFill="1" applyBorder="1" applyAlignment="1" applyProtection="1">
      <alignment horizontal="left" vertical="center"/>
      <protection/>
    </xf>
    <xf numFmtId="167" fontId="57" fillId="0" borderId="14" xfId="67" applyFont="1" applyFill="1" applyBorder="1" applyAlignment="1" applyProtection="1">
      <alignment horizontal="left" vertical="top"/>
      <protection/>
    </xf>
    <xf numFmtId="0" fontId="49" fillId="0" borderId="24" xfId="62" applyFont="1" applyFill="1" applyBorder="1" applyAlignment="1" applyProtection="1">
      <alignment/>
      <protection locked="0"/>
    </xf>
    <xf numFmtId="0" fontId="57" fillId="0" borderId="0" xfId="62" applyFont="1" applyFill="1" applyBorder="1" applyAlignment="1" applyProtection="1">
      <alignment horizontal="left" vertical="center"/>
      <protection/>
    </xf>
    <xf numFmtId="0" fontId="57" fillId="0" borderId="24" xfId="62" applyFont="1" applyFill="1" applyBorder="1" applyAlignment="1" applyProtection="1">
      <alignment wrapText="1"/>
      <protection/>
    </xf>
    <xf numFmtId="0" fontId="78" fillId="0" borderId="24" xfId="62" applyFont="1" applyFill="1" applyBorder="1" applyAlignment="1" applyProtection="1">
      <alignment/>
      <protection/>
    </xf>
    <xf numFmtId="0" fontId="123" fillId="0" borderId="0" xfId="62" applyFont="1" applyFill="1" applyBorder="1" applyAlignment="1" applyProtection="1">
      <alignment horizontal="left" vertical="top"/>
      <protection/>
    </xf>
    <xf numFmtId="0" fontId="123" fillId="0" borderId="24" xfId="62" applyFont="1" applyFill="1" applyBorder="1" applyAlignment="1" applyProtection="1">
      <alignment horizontal="left" vertical="top"/>
      <protection/>
    </xf>
    <xf numFmtId="0" fontId="57" fillId="0" borderId="24" xfId="62" applyFont="1" applyFill="1" applyBorder="1" applyAlignment="1" applyProtection="1">
      <alignment horizontal="right"/>
      <protection/>
    </xf>
    <xf numFmtId="0" fontId="58" fillId="0" borderId="0" xfId="62" applyFont="1" applyFill="1" applyBorder="1" applyAlignment="1" applyProtection="1">
      <alignment/>
      <protection/>
    </xf>
    <xf numFmtId="0" fontId="100" fillId="0" borderId="0" xfId="62" applyFont="1" applyFill="1" applyBorder="1" applyAlignment="1" applyProtection="1">
      <alignment horizontal="left" vertical="top"/>
      <protection/>
    </xf>
    <xf numFmtId="0" fontId="126" fillId="0" borderId="0" xfId="62" applyNumberFormat="1" applyFont="1" applyFill="1" applyBorder="1" applyAlignment="1" applyProtection="1">
      <alignment horizontal="left" vertical="top"/>
      <protection/>
    </xf>
    <xf numFmtId="0" fontId="187" fillId="0" borderId="0" xfId="0" applyFont="1" applyAlignment="1">
      <alignment horizontal="left" readingOrder="1"/>
    </xf>
    <xf numFmtId="0" fontId="57" fillId="0" borderId="0" xfId="63" applyNumberFormat="1" applyFont="1" applyFill="1" applyProtection="1" quotePrefix="1">
      <alignment/>
      <protection/>
    </xf>
    <xf numFmtId="167" fontId="188" fillId="0" borderId="0" xfId="66" applyFont="1">
      <alignment/>
      <protection/>
    </xf>
    <xf numFmtId="167" fontId="189" fillId="0" borderId="0" xfId="66" applyFont="1" applyFill="1">
      <alignment/>
      <protection/>
    </xf>
    <xf numFmtId="167" fontId="190" fillId="0" borderId="0" xfId="66" applyFont="1">
      <alignment/>
      <protection/>
    </xf>
    <xf numFmtId="3" fontId="191" fillId="0" borderId="0" xfId="66" applyNumberFormat="1" applyFont="1">
      <alignment/>
      <protection/>
    </xf>
    <xf numFmtId="14" fontId="18" fillId="0" borderId="0" xfId="66" applyNumberFormat="1" applyFont="1">
      <alignment/>
      <protection/>
    </xf>
    <xf numFmtId="14" fontId="192" fillId="0" borderId="0" xfId="68" applyNumberFormat="1" applyFont="1" applyAlignment="1" applyProtection="1">
      <alignment vertical="center"/>
      <protection/>
    </xf>
    <xf numFmtId="3" fontId="193" fillId="0" borderId="0" xfId="66" applyNumberFormat="1" applyFont="1">
      <alignment/>
      <protection/>
    </xf>
    <xf numFmtId="3" fontId="194" fillId="0" borderId="0" xfId="66" applyNumberFormat="1" applyFont="1">
      <alignment/>
      <protection/>
    </xf>
    <xf numFmtId="213" fontId="194" fillId="0" borderId="0" xfId="66" applyNumberFormat="1" applyFont="1">
      <alignment/>
      <protection/>
    </xf>
    <xf numFmtId="4" fontId="194" fillId="0" borderId="0" xfId="66" applyNumberFormat="1" applyFont="1">
      <alignment/>
      <protection/>
    </xf>
    <xf numFmtId="3" fontId="195" fillId="0" borderId="0" xfId="66" applyNumberFormat="1" applyFont="1">
      <alignment/>
      <protection/>
    </xf>
    <xf numFmtId="213" fontId="195" fillId="0" borderId="0" xfId="66" applyNumberFormat="1" applyFont="1">
      <alignment/>
      <protection/>
    </xf>
    <xf numFmtId="213" fontId="194" fillId="0" borderId="0" xfId="66" applyNumberFormat="1" applyFont="1" applyAlignment="1">
      <alignment horizontal="center"/>
      <protection/>
    </xf>
    <xf numFmtId="3" fontId="196" fillId="0" borderId="0" xfId="66" applyNumberFormat="1" applyFont="1" applyAlignment="1">
      <alignment horizontal="center"/>
      <protection/>
    </xf>
    <xf numFmtId="3" fontId="197" fillId="0" borderId="0" xfId="66" applyNumberFormat="1" applyFont="1" applyAlignment="1">
      <alignment horizontal="center"/>
      <protection/>
    </xf>
    <xf numFmtId="2" fontId="198" fillId="0" borderId="0" xfId="66" applyNumberFormat="1" applyFont="1" applyBorder="1" applyProtection="1">
      <alignment/>
      <protection locked="0"/>
    </xf>
    <xf numFmtId="2" fontId="198" fillId="0" borderId="0" xfId="66" applyNumberFormat="1" applyFont="1" applyBorder="1" applyAlignment="1" applyProtection="1">
      <alignment horizontal="center"/>
      <protection locked="0"/>
    </xf>
    <xf numFmtId="3" fontId="193" fillId="0" borderId="0" xfId="66" applyNumberFormat="1" applyFont="1" applyBorder="1">
      <alignment/>
      <protection/>
    </xf>
    <xf numFmtId="3" fontId="194" fillId="0" borderId="0" xfId="66" applyNumberFormat="1" applyFont="1" applyAlignment="1">
      <alignment horizontal="left"/>
      <protection/>
    </xf>
    <xf numFmtId="3" fontId="197" fillId="0" borderId="0" xfId="66" applyNumberFormat="1" applyFont="1">
      <alignment/>
      <protection/>
    </xf>
    <xf numFmtId="3" fontId="194" fillId="0" borderId="0" xfId="66" applyNumberFormat="1" applyFont="1" applyBorder="1">
      <alignment/>
      <protection/>
    </xf>
    <xf numFmtId="167" fontId="57" fillId="0" borderId="24" xfId="67" applyFont="1" applyFill="1" applyBorder="1" applyAlignment="1" applyProtection="1">
      <alignment horizontal="left"/>
      <protection/>
    </xf>
    <xf numFmtId="167" fontId="49" fillId="0" borderId="0" xfId="67" applyFont="1" applyFill="1" applyBorder="1" applyAlignment="1" applyProtection="1">
      <alignment vertical="center"/>
      <protection/>
    </xf>
    <xf numFmtId="167" fontId="63" fillId="0" borderId="48" xfId="67" applyFont="1" applyFill="1" applyBorder="1" applyAlignment="1" applyProtection="1">
      <alignment horizontal="left" vertical="center"/>
      <protection/>
    </xf>
    <xf numFmtId="3" fontId="122" fillId="0" borderId="0" xfId="66" applyNumberFormat="1" applyFont="1" applyBorder="1" applyAlignment="1">
      <alignment horizontal="left"/>
      <protection/>
    </xf>
    <xf numFmtId="3" fontId="27" fillId="0" borderId="0" xfId="66" applyNumberFormat="1" applyFont="1" applyBorder="1">
      <alignment/>
      <protection/>
    </xf>
    <xf numFmtId="3" fontId="20" fillId="0" borderId="0" xfId="66" applyNumberFormat="1" applyFont="1" applyBorder="1" applyAlignment="1">
      <alignment horizontal="centerContinuous"/>
      <protection/>
    </xf>
    <xf numFmtId="3" fontId="3" fillId="0" borderId="11" xfId="66" applyNumberFormat="1" applyBorder="1">
      <alignment/>
      <protection/>
    </xf>
    <xf numFmtId="3" fontId="22" fillId="0" borderId="47" xfId="66" applyNumberFormat="1" applyFont="1" applyBorder="1">
      <alignment/>
      <protection/>
    </xf>
    <xf numFmtId="3" fontId="22" fillId="0" borderId="0" xfId="66" applyNumberFormat="1" applyFont="1" applyBorder="1" applyAlignment="1" applyProtection="1">
      <alignment horizontal="center" wrapText="1"/>
      <protection/>
    </xf>
    <xf numFmtId="3" fontId="39" fillId="0" borderId="25" xfId="66" applyNumberFormat="1" applyFont="1" applyBorder="1">
      <alignment/>
      <protection/>
    </xf>
    <xf numFmtId="3" fontId="39" fillId="0" borderId="23" xfId="66" applyNumberFormat="1" applyFont="1" applyBorder="1" applyAlignment="1" applyProtection="1">
      <alignment horizontal="center"/>
      <protection/>
    </xf>
    <xf numFmtId="3" fontId="22" fillId="0" borderId="47" xfId="66" applyNumberFormat="1" applyFont="1" applyBorder="1" applyAlignment="1" applyProtection="1">
      <alignment horizontal="center"/>
      <protection/>
    </xf>
    <xf numFmtId="3" fontId="22" fillId="0" borderId="25" xfId="66" applyNumberFormat="1" applyFont="1" applyBorder="1">
      <alignment/>
      <protection/>
    </xf>
    <xf numFmtId="3" fontId="22" fillId="0" borderId="29" xfId="66" applyNumberFormat="1" applyFont="1" applyBorder="1" applyAlignment="1" applyProtection="1">
      <alignment horizontal="center"/>
      <protection/>
    </xf>
    <xf numFmtId="0" fontId="57" fillId="0" borderId="0" xfId="65" applyFont="1" applyFill="1" applyBorder="1" applyAlignment="1" applyProtection="1">
      <alignment vertical="top"/>
      <protection/>
    </xf>
    <xf numFmtId="3" fontId="26" fillId="0" borderId="27" xfId="66" applyNumberFormat="1" applyFont="1" applyBorder="1" applyAlignment="1">
      <alignment horizontal="center"/>
      <protection/>
    </xf>
    <xf numFmtId="3" fontId="39" fillId="0" borderId="24" xfId="66" applyNumberFormat="1" applyFont="1" applyBorder="1" applyAlignment="1" applyProtection="1">
      <alignment horizontal="center"/>
      <protection/>
    </xf>
    <xf numFmtId="3" fontId="24" fillId="0" borderId="27" xfId="66" applyNumberFormat="1" applyFont="1" applyBorder="1">
      <alignment/>
      <protection/>
    </xf>
    <xf numFmtId="3" fontId="122" fillId="0" borderId="27" xfId="66" applyNumberFormat="1" applyFont="1" applyBorder="1" applyAlignment="1">
      <alignment horizontal="left"/>
      <protection/>
    </xf>
    <xf numFmtId="3" fontId="22" fillId="0" borderId="29" xfId="66" applyNumberFormat="1" applyFont="1" applyBorder="1" applyAlignment="1" applyProtection="1">
      <alignment horizontal="left"/>
      <protection/>
    </xf>
    <xf numFmtId="3" fontId="22" fillId="0" borderId="26" xfId="66" applyNumberFormat="1" applyFont="1" applyBorder="1" applyAlignment="1" applyProtection="1">
      <alignment horizontal="left"/>
      <protection/>
    </xf>
    <xf numFmtId="3" fontId="27" fillId="0" borderId="0" xfId="66" applyNumberFormat="1" applyFont="1" applyBorder="1" applyAlignment="1" applyProtection="1">
      <alignment horizontal="center" wrapText="1"/>
      <protection/>
    </xf>
    <xf numFmtId="3" fontId="122" fillId="0" borderId="25" xfId="66" applyNumberFormat="1" applyFont="1" applyBorder="1" applyAlignment="1">
      <alignment horizontal="left"/>
      <protection/>
    </xf>
    <xf numFmtId="3" fontId="27" fillId="0" borderId="25" xfId="66" applyNumberFormat="1" applyFont="1" applyBorder="1" applyAlignment="1" applyProtection="1">
      <alignment horizontal="center" wrapText="1"/>
      <protection/>
    </xf>
    <xf numFmtId="3" fontId="22" fillId="0" borderId="47" xfId="66" applyNumberFormat="1" applyFont="1" applyBorder="1" applyAlignment="1" applyProtection="1">
      <alignment horizontal="left"/>
      <protection/>
    </xf>
    <xf numFmtId="3" fontId="39" fillId="0" borderId="29" xfId="66" applyNumberFormat="1" applyFont="1" applyBorder="1" applyAlignment="1" applyProtection="1">
      <alignment horizontal="left"/>
      <protection/>
    </xf>
    <xf numFmtId="3" fontId="39" fillId="0" borderId="26" xfId="66" applyNumberFormat="1" applyFont="1" applyBorder="1" applyAlignment="1" applyProtection="1">
      <alignment horizontal="left"/>
      <protection/>
    </xf>
    <xf numFmtId="3" fontId="39" fillId="0" borderId="47" xfId="66" applyNumberFormat="1" applyFont="1" applyBorder="1">
      <alignment/>
      <protection/>
    </xf>
    <xf numFmtId="3" fontId="39" fillId="0" borderId="47" xfId="66" applyNumberFormat="1" applyFont="1" applyBorder="1" applyAlignment="1" applyProtection="1">
      <alignment horizontal="left"/>
      <protection/>
    </xf>
    <xf numFmtId="3" fontId="40" fillId="0" borderId="29" xfId="66" applyNumberFormat="1" applyFont="1" applyBorder="1">
      <alignment/>
      <protection/>
    </xf>
    <xf numFmtId="2" fontId="28" fillId="0" borderId="28" xfId="66" applyNumberFormat="1" applyFont="1" applyBorder="1" applyProtection="1">
      <alignment/>
      <protection/>
    </xf>
    <xf numFmtId="3" fontId="26" fillId="0" borderId="0" xfId="66" applyNumberFormat="1" applyFont="1" applyBorder="1" applyAlignment="1">
      <alignment horizontal="center"/>
      <protection/>
    </xf>
    <xf numFmtId="3" fontId="3" fillId="0" borderId="33" xfId="66" applyNumberFormat="1" applyBorder="1">
      <alignment/>
      <protection/>
    </xf>
    <xf numFmtId="3" fontId="26" fillId="0" borderId="24" xfId="66" applyNumberFormat="1" applyFont="1" applyBorder="1" applyAlignment="1">
      <alignment horizontal="center"/>
      <protection/>
    </xf>
    <xf numFmtId="3" fontId="22" fillId="0" borderId="35" xfId="66" applyNumberFormat="1" applyFont="1" applyBorder="1" applyAlignment="1">
      <alignment horizontal="left" indent="1"/>
      <protection/>
    </xf>
    <xf numFmtId="3" fontId="22" fillId="0" borderId="23" xfId="66" applyNumberFormat="1" applyFont="1" applyBorder="1" applyAlignment="1">
      <alignment horizontal="left" indent="1"/>
      <protection/>
    </xf>
    <xf numFmtId="3" fontId="18" fillId="0" borderId="24" xfId="66" applyNumberFormat="1" applyFont="1" applyBorder="1">
      <alignment/>
      <protection/>
    </xf>
    <xf numFmtId="3" fontId="18" fillId="0" borderId="48" xfId="66" applyNumberFormat="1" applyFont="1" applyBorder="1">
      <alignment/>
      <protection/>
    </xf>
    <xf numFmtId="3" fontId="22" fillId="0" borderId="48" xfId="66" applyNumberFormat="1" applyFont="1" applyBorder="1" applyAlignment="1" applyProtection="1">
      <alignment horizontal="left"/>
      <protection/>
    </xf>
    <xf numFmtId="3" fontId="23" fillId="35" borderId="0" xfId="66" applyNumberFormat="1" applyFont="1" applyFill="1" applyBorder="1" applyProtection="1">
      <alignment/>
      <protection locked="0"/>
    </xf>
    <xf numFmtId="3" fontId="22" fillId="0" borderId="25" xfId="66" applyNumberFormat="1" applyFont="1" applyBorder="1" applyAlignment="1">
      <alignment horizontal="left" indent="1"/>
      <protection/>
    </xf>
    <xf numFmtId="3" fontId="22" fillId="0" borderId="48" xfId="66" applyNumberFormat="1" applyFont="1" applyBorder="1" applyAlignment="1">
      <alignment horizontal="left" indent="1"/>
      <protection/>
    </xf>
    <xf numFmtId="3" fontId="18" fillId="0" borderId="35" xfId="66" applyNumberFormat="1" applyFont="1" applyBorder="1">
      <alignment/>
      <protection/>
    </xf>
    <xf numFmtId="3" fontId="22" fillId="0" borderId="24" xfId="66" applyNumberFormat="1" applyFont="1" applyBorder="1" applyAlignment="1">
      <alignment horizontal="left" indent="1"/>
      <protection/>
    </xf>
    <xf numFmtId="3" fontId="22" fillId="0" borderId="48" xfId="66" applyNumberFormat="1" applyFont="1" applyBorder="1">
      <alignment/>
      <protection/>
    </xf>
    <xf numFmtId="3" fontId="22" fillId="0" borderId="24" xfId="66" applyNumberFormat="1" applyFont="1" applyBorder="1" applyAlignment="1" applyProtection="1">
      <alignment horizontal="left"/>
      <protection/>
    </xf>
    <xf numFmtId="3" fontId="109" fillId="0" borderId="25" xfId="66" applyNumberFormat="1" applyFont="1" applyBorder="1" applyAlignment="1" applyProtection="1">
      <alignment horizontal="left"/>
      <protection/>
    </xf>
    <xf numFmtId="3" fontId="109" fillId="0" borderId="23" xfId="66" applyNumberFormat="1" applyFont="1" applyBorder="1" applyAlignment="1" applyProtection="1">
      <alignment horizontal="left"/>
      <protection/>
    </xf>
    <xf numFmtId="3" fontId="39" fillId="0" borderId="44" xfId="66" applyNumberFormat="1" applyFont="1" applyBorder="1" applyAlignment="1" applyProtection="1">
      <alignment horizontal="left"/>
      <protection/>
    </xf>
    <xf numFmtId="3" fontId="39" fillId="0" borderId="0" xfId="66" applyNumberFormat="1" applyFont="1" applyBorder="1" applyAlignment="1" applyProtection="1">
      <alignment horizontal="left" indent="1"/>
      <protection/>
    </xf>
    <xf numFmtId="3" fontId="39" fillId="0" borderId="48" xfId="66" applyNumberFormat="1" applyFont="1" applyBorder="1" applyAlignment="1" applyProtection="1">
      <alignment horizontal="left" vertical="center" wrapText="1" indent="1"/>
      <protection/>
    </xf>
    <xf numFmtId="167" fontId="40" fillId="0" borderId="48" xfId="66" applyFont="1" applyBorder="1" applyAlignment="1">
      <alignment horizontal="left" vertical="center" wrapText="1" indent="1"/>
      <protection/>
    </xf>
    <xf numFmtId="3" fontId="41" fillId="0" borderId="24" xfId="66" applyNumberFormat="1" applyFont="1" applyBorder="1" applyAlignment="1" applyProtection="1">
      <alignment horizontal="left" vertical="center" indent="1"/>
      <protection/>
    </xf>
    <xf numFmtId="3" fontId="107" fillId="0" borderId="68" xfId="66" applyNumberFormat="1" applyFont="1" applyBorder="1" applyAlignment="1" applyProtection="1">
      <alignment horizontal="right"/>
      <protection/>
    </xf>
    <xf numFmtId="0" fontId="57" fillId="0" borderId="25" xfId="64" applyFont="1" applyFill="1" applyBorder="1" applyAlignment="1" applyProtection="1">
      <alignment vertical="center"/>
      <protection/>
    </xf>
    <xf numFmtId="212" fontId="47" fillId="0" borderId="24" xfId="63" applyNumberFormat="1" applyFont="1" applyFill="1" applyBorder="1" applyAlignment="1" applyProtection="1">
      <alignment/>
      <protection/>
    </xf>
    <xf numFmtId="0" fontId="57" fillId="0" borderId="0" xfId="0" applyFont="1" applyAlignment="1">
      <alignment/>
    </xf>
    <xf numFmtId="3" fontId="199" fillId="0" borderId="0" xfId="66" applyNumberFormat="1" applyFont="1">
      <alignment/>
      <protection/>
    </xf>
    <xf numFmtId="3" fontId="193" fillId="36" borderId="0" xfId="66" applyNumberFormat="1" applyFont="1" applyFill="1">
      <alignment/>
      <protection/>
    </xf>
    <xf numFmtId="3" fontId="194" fillId="36" borderId="0" xfId="66" applyNumberFormat="1" applyFont="1" applyFill="1">
      <alignment/>
      <protection/>
    </xf>
    <xf numFmtId="213" fontId="194" fillId="36" borderId="0" xfId="66" applyNumberFormat="1" applyFont="1" applyFill="1">
      <alignment/>
      <protection/>
    </xf>
    <xf numFmtId="4" fontId="194" fillId="36" borderId="0" xfId="66" applyNumberFormat="1" applyFont="1" applyFill="1">
      <alignment/>
      <protection/>
    </xf>
    <xf numFmtId="3" fontId="194" fillId="36" borderId="0" xfId="66" applyNumberFormat="1" applyFont="1" applyFill="1" applyAlignment="1">
      <alignment horizontal="center"/>
      <protection/>
    </xf>
    <xf numFmtId="3" fontId="196" fillId="36" borderId="0" xfId="66" applyNumberFormat="1" applyFont="1" applyFill="1" applyAlignment="1">
      <alignment horizontal="center"/>
      <protection/>
    </xf>
    <xf numFmtId="3" fontId="193" fillId="36" borderId="0" xfId="66" applyNumberFormat="1" applyFont="1" applyFill="1" applyAlignment="1">
      <alignment horizontal="center"/>
      <protection/>
    </xf>
    <xf numFmtId="2" fontId="198" fillId="36" borderId="0" xfId="66" applyNumberFormat="1" applyFont="1" applyFill="1" applyBorder="1" applyProtection="1">
      <alignment/>
      <protection locked="0"/>
    </xf>
    <xf numFmtId="2" fontId="198" fillId="36" borderId="0" xfId="66" applyNumberFormat="1" applyFont="1" applyFill="1" applyBorder="1" applyAlignment="1" applyProtection="1">
      <alignment horizontal="center"/>
      <protection locked="0"/>
    </xf>
    <xf numFmtId="167" fontId="188" fillId="0" borderId="0" xfId="66" applyFont="1" applyFill="1">
      <alignment/>
      <protection/>
    </xf>
    <xf numFmtId="167" fontId="200" fillId="0" borderId="0" xfId="66" applyFont="1" applyFill="1">
      <alignment/>
      <protection/>
    </xf>
    <xf numFmtId="167" fontId="201" fillId="0" borderId="0" xfId="66" applyFont="1" applyFill="1" applyBorder="1" applyAlignment="1" applyProtection="1">
      <alignment vertical="center"/>
      <protection/>
    </xf>
    <xf numFmtId="167" fontId="200" fillId="0" borderId="0" xfId="66" applyFont="1" applyFill="1" applyProtection="1">
      <alignment/>
      <protection locked="0"/>
    </xf>
    <xf numFmtId="0" fontId="128" fillId="0" borderId="0" xfId="0" applyFont="1" applyBorder="1" applyAlignment="1" applyProtection="1">
      <alignment horizontal="left"/>
      <protection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173" fontId="58" fillId="0" borderId="0" xfId="42" applyNumberFormat="1" applyFont="1" applyFill="1" applyBorder="1" applyAlignment="1" applyProtection="1">
      <alignment horizontal="center" vertical="center"/>
      <protection/>
    </xf>
    <xf numFmtId="0" fontId="201" fillId="0" borderId="0" xfId="0" applyFont="1" applyFill="1" applyBorder="1" applyAlignment="1" applyProtection="1">
      <alignment vertical="center"/>
      <protection/>
    </xf>
    <xf numFmtId="0" fontId="201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129" fillId="0" borderId="0" xfId="55" applyFont="1" applyAlignment="1" applyProtection="1">
      <alignment vertical="center"/>
      <protection/>
    </xf>
    <xf numFmtId="173" fontId="202" fillId="0" borderId="0" xfId="42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right" vertical="center"/>
      <protection/>
    </xf>
    <xf numFmtId="170" fontId="57" fillId="0" borderId="0" xfId="45" applyNumberFormat="1" applyFont="1" applyFill="1" applyBorder="1" applyAlignment="1" applyProtection="1">
      <alignment vertical="center"/>
      <protection/>
    </xf>
    <xf numFmtId="0" fontId="63" fillId="0" borderId="0" xfId="0" applyFont="1" applyAlignment="1" applyProtection="1">
      <alignment horizontal="left" vertical="center"/>
      <protection/>
    </xf>
    <xf numFmtId="0" fontId="57" fillId="0" borderId="25" xfId="0" applyFont="1" applyBorder="1" applyAlignment="1" applyProtection="1">
      <alignment vertical="center"/>
      <protection/>
    </xf>
    <xf numFmtId="0" fontId="57" fillId="0" borderId="48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202" fillId="0" borderId="0" xfId="0" applyFont="1" applyFill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167" fontId="202" fillId="0" borderId="0" xfId="66" applyFont="1" applyFill="1">
      <alignment/>
      <protection/>
    </xf>
    <xf numFmtId="167" fontId="202" fillId="0" borderId="0" xfId="66" applyFont="1" applyFill="1" applyBorder="1" applyAlignment="1" applyProtection="1">
      <alignment vertical="center"/>
      <protection/>
    </xf>
    <xf numFmtId="167" fontId="190" fillId="0" borderId="0" xfId="66" applyFont="1" applyFill="1">
      <alignment/>
      <protection/>
    </xf>
    <xf numFmtId="167" fontId="189" fillId="0" borderId="0" xfId="66" applyFont="1">
      <alignment/>
      <protection/>
    </xf>
    <xf numFmtId="167" fontId="192" fillId="0" borderId="0" xfId="66" applyFont="1" applyAlignment="1" applyProtection="1">
      <alignment vertical="center"/>
      <protection/>
    </xf>
    <xf numFmtId="167" fontId="190" fillId="0" borderId="0" xfId="66" applyFont="1" applyProtection="1">
      <alignment/>
      <protection/>
    </xf>
    <xf numFmtId="1" fontId="22" fillId="0" borderId="10" xfId="71" applyNumberFormat="1" applyFont="1" applyFill="1" applyBorder="1" applyAlignment="1" applyProtection="1">
      <alignment horizontal="center" vertical="center"/>
      <protection/>
    </xf>
    <xf numFmtId="0" fontId="57" fillId="37" borderId="10" xfId="0" applyFont="1" applyFill="1" applyBorder="1" applyAlignment="1" applyProtection="1">
      <alignment vertical="center"/>
      <protection locked="0"/>
    </xf>
    <xf numFmtId="170" fontId="57" fillId="37" borderId="10" xfId="45" applyNumberFormat="1" applyFont="1" applyFill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vertical="center"/>
      <protection/>
    </xf>
    <xf numFmtId="0" fontId="130" fillId="0" borderId="49" xfId="0" applyFont="1" applyBorder="1" applyAlignment="1" applyProtection="1">
      <alignment vertical="center"/>
      <protection/>
    </xf>
    <xf numFmtId="167" fontId="203" fillId="0" borderId="0" xfId="66" applyFont="1" applyProtection="1">
      <alignment/>
      <protection/>
    </xf>
    <xf numFmtId="3" fontId="194" fillId="36" borderId="0" xfId="66" applyNumberFormat="1" applyFont="1" applyFill="1" applyBorder="1">
      <alignment/>
      <protection/>
    </xf>
    <xf numFmtId="3" fontId="193" fillId="36" borderId="0" xfId="66" applyNumberFormat="1" applyFont="1" applyFill="1" applyBorder="1">
      <alignment/>
      <protection/>
    </xf>
    <xf numFmtId="167" fontId="190" fillId="0" borderId="0" xfId="66" applyFont="1" applyAlignment="1">
      <alignment horizontal="center"/>
      <protection/>
    </xf>
    <xf numFmtId="167" fontId="190" fillId="0" borderId="0" xfId="66" applyFont="1" quotePrefix="1">
      <alignment/>
      <protection/>
    </xf>
    <xf numFmtId="167" fontId="190" fillId="0" borderId="0" xfId="66" applyFont="1" applyProtection="1">
      <alignment/>
      <protection hidden="1" locked="0"/>
    </xf>
    <xf numFmtId="3" fontId="191" fillId="36" borderId="0" xfId="66" applyNumberFormat="1" applyFont="1" applyFill="1">
      <alignment/>
      <protection/>
    </xf>
    <xf numFmtId="3" fontId="195" fillId="36" borderId="0" xfId="66" applyNumberFormat="1" applyFont="1" applyFill="1">
      <alignment/>
      <protection/>
    </xf>
    <xf numFmtId="213" fontId="195" fillId="36" borderId="0" xfId="66" applyNumberFormat="1" applyFont="1" applyFill="1">
      <alignment/>
      <protection/>
    </xf>
    <xf numFmtId="213" fontId="194" fillId="36" borderId="0" xfId="66" applyNumberFormat="1" applyFont="1" applyFill="1" applyAlignment="1">
      <alignment horizontal="center"/>
      <protection/>
    </xf>
    <xf numFmtId="3" fontId="204" fillId="36" borderId="0" xfId="66" applyNumberFormat="1" applyFont="1" applyFill="1" applyAlignment="1">
      <alignment horizontal="center"/>
      <protection/>
    </xf>
    <xf numFmtId="167" fontId="205" fillId="0" borderId="0" xfId="66" applyFont="1">
      <alignment/>
      <protection/>
    </xf>
    <xf numFmtId="167" fontId="205" fillId="0" borderId="0" xfId="66" applyFont="1" applyProtection="1">
      <alignment/>
      <protection/>
    </xf>
    <xf numFmtId="3" fontId="206" fillId="0" borderId="0" xfId="66" applyNumberFormat="1" applyFont="1">
      <alignment/>
      <protection/>
    </xf>
    <xf numFmtId="3" fontId="207" fillId="0" borderId="0" xfId="66" applyNumberFormat="1" applyFont="1">
      <alignment/>
      <protection/>
    </xf>
    <xf numFmtId="3" fontId="191" fillId="0" borderId="0" xfId="66" applyNumberFormat="1" applyFont="1" applyProtection="1">
      <alignment/>
      <protection/>
    </xf>
    <xf numFmtId="14" fontId="208" fillId="0" borderId="0" xfId="68" applyNumberFormat="1" applyFont="1" applyFill="1" applyAlignment="1" applyProtection="1">
      <alignment vertical="center"/>
      <protection/>
    </xf>
    <xf numFmtId="167" fontId="200" fillId="0" borderId="0" xfId="66" applyFont="1">
      <alignment/>
      <protection/>
    </xf>
    <xf numFmtId="167" fontId="188" fillId="36" borderId="0" xfId="66" applyFont="1" applyFill="1">
      <alignment/>
      <protection/>
    </xf>
    <xf numFmtId="167" fontId="190" fillId="36" borderId="0" xfId="66" applyFont="1" applyFill="1">
      <alignment/>
      <protection/>
    </xf>
    <xf numFmtId="167" fontId="190" fillId="36" borderId="0" xfId="66" applyFont="1" applyFill="1" applyProtection="1">
      <alignment/>
      <protection/>
    </xf>
    <xf numFmtId="167" fontId="6" fillId="36" borderId="0" xfId="66" applyFont="1" applyFill="1">
      <alignment/>
      <protection/>
    </xf>
    <xf numFmtId="167" fontId="190" fillId="36" borderId="0" xfId="66" applyFont="1" applyFill="1" applyProtection="1">
      <alignment/>
      <protection locked="0"/>
    </xf>
    <xf numFmtId="0" fontId="192" fillId="36" borderId="0" xfId="0" applyFont="1" applyFill="1" applyBorder="1" applyAlignment="1" applyProtection="1">
      <alignment vertical="center"/>
      <protection/>
    </xf>
    <xf numFmtId="0" fontId="209" fillId="36" borderId="0" xfId="0" applyFont="1" applyFill="1" applyBorder="1" applyAlignment="1" applyProtection="1">
      <alignment vertical="center"/>
      <protection/>
    </xf>
    <xf numFmtId="0" fontId="210" fillId="36" borderId="0" xfId="60" applyFont="1" applyFill="1" applyBorder="1" applyAlignment="1">
      <alignment horizontal="center"/>
      <protection/>
    </xf>
    <xf numFmtId="16" fontId="210" fillId="36" borderId="0" xfId="60" applyNumberFormat="1" applyFont="1" applyFill="1" applyBorder="1" applyAlignment="1">
      <alignment horizontal="center"/>
      <protection/>
    </xf>
    <xf numFmtId="14" fontId="190" fillId="36" borderId="0" xfId="66" applyNumberFormat="1" applyFont="1" applyFill="1">
      <alignment/>
      <protection/>
    </xf>
    <xf numFmtId="14" fontId="210" fillId="36" borderId="0" xfId="0" applyNumberFormat="1" applyFont="1" applyFill="1" applyBorder="1" applyAlignment="1">
      <alignment horizontal="center"/>
    </xf>
    <xf numFmtId="177" fontId="210" fillId="36" borderId="0" xfId="60" applyNumberFormat="1" applyFont="1" applyFill="1" applyBorder="1" applyAlignment="1">
      <alignment horizontal="center" vertical="top" wrapText="1"/>
      <protection/>
    </xf>
    <xf numFmtId="0" fontId="202" fillId="36" borderId="0" xfId="0" applyFont="1" applyFill="1" applyBorder="1" applyAlignment="1">
      <alignment/>
    </xf>
    <xf numFmtId="177" fontId="202" fillId="36" borderId="0" xfId="60" applyNumberFormat="1" applyFont="1" applyFill="1" applyBorder="1" applyAlignment="1">
      <alignment horizontal="center"/>
      <protection/>
    </xf>
    <xf numFmtId="177" fontId="202" fillId="36" borderId="0" xfId="0" applyNumberFormat="1" applyFont="1" applyFill="1" applyBorder="1" applyAlignment="1">
      <alignment horizontal="center"/>
    </xf>
    <xf numFmtId="0" fontId="210" fillId="36" borderId="0" xfId="0" applyFont="1" applyFill="1" applyBorder="1" applyAlignment="1">
      <alignment horizontal="center"/>
    </xf>
    <xf numFmtId="0" fontId="211" fillId="36" borderId="0" xfId="0" applyFont="1" applyFill="1" applyBorder="1" applyAlignment="1">
      <alignment/>
    </xf>
    <xf numFmtId="16" fontId="210" fillId="36" borderId="0" xfId="0" applyNumberFormat="1" applyFont="1" applyFill="1" applyBorder="1" applyAlignment="1">
      <alignment horizontal="center"/>
    </xf>
    <xf numFmtId="0" fontId="192" fillId="36" borderId="0" xfId="0" applyFont="1" applyFill="1" applyAlignment="1" applyProtection="1">
      <alignment vertical="center"/>
      <protection/>
    </xf>
    <xf numFmtId="0" fontId="212" fillId="36" borderId="0" xfId="0" applyFont="1" applyFill="1" applyBorder="1" applyAlignment="1">
      <alignment horizontal="left"/>
    </xf>
    <xf numFmtId="3" fontId="213" fillId="0" borderId="0" xfId="66" applyNumberFormat="1" applyFont="1">
      <alignment/>
      <protection/>
    </xf>
    <xf numFmtId="3" fontId="214" fillId="0" borderId="0" xfId="66" applyNumberFormat="1" applyFont="1">
      <alignment/>
      <protection/>
    </xf>
    <xf numFmtId="2" fontId="215" fillId="36" borderId="0" xfId="66" applyNumberFormat="1" applyFont="1" applyFill="1" applyBorder="1" applyProtection="1">
      <alignment/>
      <protection locked="0"/>
    </xf>
    <xf numFmtId="2" fontId="215" fillId="36" borderId="0" xfId="66" applyNumberFormat="1" applyFont="1" applyFill="1" applyBorder="1" applyAlignment="1" applyProtection="1">
      <alignment horizontal="center"/>
      <protection locked="0"/>
    </xf>
    <xf numFmtId="167" fontId="5" fillId="0" borderId="0" xfId="66" applyFont="1" applyAlignment="1" quotePrefix="1">
      <alignment horizontal="center" vertical="center"/>
      <protection/>
    </xf>
    <xf numFmtId="167" fontId="5" fillId="0" borderId="0" xfId="66" applyFont="1" applyAlignment="1">
      <alignment horizontal="center" vertical="center"/>
      <protection/>
    </xf>
    <xf numFmtId="177" fontId="212" fillId="36" borderId="0" xfId="0" applyNumberFormat="1" applyFont="1" applyFill="1" applyBorder="1" applyAlignment="1">
      <alignment horizontal="left"/>
    </xf>
    <xf numFmtId="0" fontId="212" fillId="36" borderId="0" xfId="0" applyFont="1" applyFill="1" applyBorder="1" applyAlignment="1">
      <alignment horizontal="left"/>
    </xf>
    <xf numFmtId="167" fontId="16" fillId="0" borderId="21" xfId="66" applyFont="1" applyBorder="1" applyAlignment="1">
      <alignment horizontal="center" vertical="center"/>
      <protection/>
    </xf>
    <xf numFmtId="167" fontId="17" fillId="0" borderId="21" xfId="66" applyFont="1" applyBorder="1" applyAlignment="1">
      <alignment horizontal="center" vertical="center"/>
      <protection/>
    </xf>
    <xf numFmtId="167" fontId="57" fillId="0" borderId="25" xfId="67" applyFont="1" applyFill="1" applyBorder="1" applyAlignment="1" applyProtection="1">
      <alignment horizontal="left" vertical="top"/>
      <protection/>
    </xf>
    <xf numFmtId="0" fontId="0" fillId="0" borderId="25" xfId="0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167" fontId="81" fillId="0" borderId="0" xfId="55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176" fontId="57" fillId="0" borderId="48" xfId="67" applyNumberFormat="1" applyFont="1" applyFill="1" applyBorder="1" applyAlignment="1" applyProtection="1">
      <alignment horizontal="center" vertical="center"/>
      <protection/>
    </xf>
    <xf numFmtId="176" fontId="57" fillId="0" borderId="27" xfId="67" applyNumberFormat="1" applyFont="1" applyFill="1" applyBorder="1" applyAlignment="1" applyProtection="1">
      <alignment horizontal="center" vertical="center"/>
      <protection/>
    </xf>
    <xf numFmtId="176" fontId="57" fillId="0" borderId="0" xfId="67" applyNumberFormat="1" applyFont="1" applyFill="1" applyBorder="1" applyAlignment="1" applyProtection="1">
      <alignment horizontal="center" vertical="center"/>
      <protection/>
    </xf>
    <xf numFmtId="4" fontId="10" fillId="0" borderId="69" xfId="66" applyNumberFormat="1" applyFont="1" applyBorder="1" applyAlignment="1" applyProtection="1">
      <alignment horizontal="center" wrapText="1"/>
      <protection locked="0"/>
    </xf>
    <xf numFmtId="4" fontId="10" fillId="0" borderId="70" xfId="66" applyNumberFormat="1" applyFont="1" applyBorder="1" applyAlignment="1" applyProtection="1">
      <alignment horizontal="center" wrapText="1"/>
      <protection locked="0"/>
    </xf>
    <xf numFmtId="3" fontId="32" fillId="0" borderId="0" xfId="66" applyNumberFormat="1" applyFont="1" applyBorder="1" applyAlignment="1" applyProtection="1">
      <alignment shrinkToFit="1"/>
      <protection locked="0"/>
    </xf>
    <xf numFmtId="167" fontId="3" fillId="0" borderId="0" xfId="66" applyAlignment="1" applyProtection="1">
      <alignment shrinkToFit="1"/>
      <protection locked="0"/>
    </xf>
    <xf numFmtId="3" fontId="32" fillId="0" borderId="24" xfId="66" applyNumberFormat="1" applyFont="1" applyBorder="1" applyAlignment="1" applyProtection="1">
      <alignment shrinkToFit="1"/>
      <protection locked="0"/>
    </xf>
    <xf numFmtId="167" fontId="3" fillId="0" borderId="24" xfId="66" applyBorder="1" applyAlignment="1" applyProtection="1">
      <alignment shrinkToFit="1"/>
      <protection locked="0"/>
    </xf>
    <xf numFmtId="167" fontId="3" fillId="0" borderId="0" xfId="66" applyBorder="1" applyAlignment="1" applyProtection="1">
      <alignment shrinkToFit="1"/>
      <protection locked="0"/>
    </xf>
    <xf numFmtId="3" fontId="32" fillId="0" borderId="24" xfId="66" applyNumberFormat="1" applyFont="1" applyBorder="1" applyAlignment="1" applyProtection="1">
      <alignment/>
      <protection locked="0"/>
    </xf>
    <xf numFmtId="167" fontId="3" fillId="0" borderId="0" xfId="66" applyBorder="1" applyAlignment="1" applyProtection="1">
      <alignment/>
      <protection locked="0"/>
    </xf>
    <xf numFmtId="3" fontId="23" fillId="35" borderId="23" xfId="66" applyNumberFormat="1" applyFont="1" applyFill="1" applyBorder="1" applyAlignment="1" applyProtection="1">
      <alignment shrinkToFit="1"/>
      <protection locked="0"/>
    </xf>
    <xf numFmtId="167" fontId="3" fillId="0" borderId="23" xfId="66" applyBorder="1" applyAlignment="1" applyProtection="1">
      <alignment shrinkToFit="1"/>
      <protection locked="0"/>
    </xf>
    <xf numFmtId="3" fontId="23" fillId="35" borderId="0" xfId="66" applyNumberFormat="1" applyFont="1" applyFill="1" applyBorder="1" applyAlignment="1" applyProtection="1">
      <alignment shrinkToFit="1"/>
      <protection locked="0"/>
    </xf>
    <xf numFmtId="3" fontId="23" fillId="35" borderId="24" xfId="66" applyNumberFormat="1" applyFont="1" applyFill="1" applyBorder="1" applyAlignment="1" applyProtection="1">
      <alignment shrinkToFit="1"/>
      <protection locked="0"/>
    </xf>
    <xf numFmtId="3" fontId="23" fillId="35" borderId="0" xfId="66" applyNumberFormat="1" applyFont="1" applyFill="1" applyAlignment="1" applyProtection="1">
      <alignment shrinkToFit="1"/>
      <protection locked="0"/>
    </xf>
    <xf numFmtId="3" fontId="23" fillId="35" borderId="26" xfId="66" applyNumberFormat="1" applyFont="1" applyFill="1" applyBorder="1" applyAlignment="1" applyProtection="1">
      <alignment horizontal="left"/>
      <protection locked="0"/>
    </xf>
    <xf numFmtId="167" fontId="3" fillId="0" borderId="71" xfId="66" applyBorder="1" applyAlignment="1" applyProtection="1">
      <alignment horizontal="left"/>
      <protection locked="0"/>
    </xf>
    <xf numFmtId="167" fontId="3" fillId="0" borderId="23" xfId="66" applyBorder="1" applyAlignment="1" applyProtection="1">
      <alignment horizontal="left"/>
      <protection locked="0"/>
    </xf>
    <xf numFmtId="167" fontId="3" fillId="0" borderId="44" xfId="66" applyBorder="1" applyAlignment="1" applyProtection="1">
      <alignment horizontal="left"/>
      <protection locked="0"/>
    </xf>
    <xf numFmtId="3" fontId="23" fillId="35" borderId="25" xfId="66" applyNumberFormat="1" applyFont="1" applyFill="1" applyBorder="1" applyAlignment="1" applyProtection="1">
      <alignment horizontal="left"/>
      <protection locked="0"/>
    </xf>
    <xf numFmtId="167" fontId="3" fillId="0" borderId="25" xfId="66" applyBorder="1" applyAlignment="1" applyProtection="1">
      <alignment horizontal="left"/>
      <protection locked="0"/>
    </xf>
    <xf numFmtId="167" fontId="3" fillId="0" borderId="0" xfId="66" applyBorder="1" applyAlignment="1" applyProtection="1">
      <alignment horizontal="left"/>
      <protection locked="0"/>
    </xf>
    <xf numFmtId="167" fontId="3" fillId="0" borderId="47" xfId="66" applyBorder="1" applyAlignment="1" applyProtection="1">
      <alignment horizontal="left"/>
      <protection locked="0"/>
    </xf>
    <xf numFmtId="167" fontId="3" fillId="0" borderId="24" xfId="66" applyBorder="1" applyAlignment="1" applyProtection="1">
      <alignment horizontal="left"/>
      <protection locked="0"/>
    </xf>
    <xf numFmtId="167" fontId="3" fillId="0" borderId="33" xfId="66" applyBorder="1" applyAlignment="1" applyProtection="1">
      <alignment horizontal="left"/>
      <protection locked="0"/>
    </xf>
    <xf numFmtId="3" fontId="23" fillId="35" borderId="0" xfId="66" applyNumberFormat="1" applyFont="1" applyFill="1" applyBorder="1" applyAlignment="1" applyProtection="1">
      <alignment horizontal="left"/>
      <protection locked="0"/>
    </xf>
    <xf numFmtId="167" fontId="3" fillId="0" borderId="42" xfId="66" applyBorder="1" applyAlignment="1" applyProtection="1">
      <alignment horizontal="left"/>
      <protection locked="0"/>
    </xf>
    <xf numFmtId="167" fontId="3" fillId="0" borderId="72" xfId="66" applyBorder="1" applyAlignment="1" applyProtection="1">
      <alignment horizontal="left"/>
      <protection locked="0"/>
    </xf>
    <xf numFmtId="167" fontId="3" fillId="0" borderId="29" xfId="66" applyBorder="1" applyAlignment="1" applyProtection="1">
      <alignment horizontal="left"/>
      <protection locked="0"/>
    </xf>
    <xf numFmtId="3" fontId="29" fillId="35" borderId="73" xfId="66" applyNumberFormat="1" applyFont="1" applyFill="1" applyBorder="1" applyAlignment="1" applyProtection="1">
      <alignment wrapText="1"/>
      <protection locked="0"/>
    </xf>
    <xf numFmtId="167" fontId="3" fillId="0" borderId="74" xfId="66" applyBorder="1" applyAlignment="1" applyProtection="1">
      <alignment wrapText="1"/>
      <protection locked="0"/>
    </xf>
    <xf numFmtId="3" fontId="22" fillId="0" borderId="69" xfId="66" applyNumberFormat="1" applyFont="1" applyBorder="1" applyAlignment="1" applyProtection="1">
      <alignment horizontal="center" wrapText="1"/>
      <protection/>
    </xf>
    <xf numFmtId="3" fontId="22" fillId="0" borderId="70" xfId="66" applyNumberFormat="1" applyFont="1" applyBorder="1" applyAlignment="1" applyProtection="1">
      <alignment horizontal="center" wrapText="1"/>
      <protection/>
    </xf>
    <xf numFmtId="3" fontId="39" fillId="0" borderId="13" xfId="66" applyNumberFormat="1" applyFont="1" applyBorder="1" applyAlignment="1">
      <alignment horizontal="center" wrapText="1"/>
      <protection/>
    </xf>
    <xf numFmtId="3" fontId="39" fillId="0" borderId="70" xfId="66" applyNumberFormat="1" applyFont="1" applyBorder="1" applyAlignment="1">
      <alignment horizontal="center" wrapText="1"/>
      <protection/>
    </xf>
    <xf numFmtId="3" fontId="22" fillId="0" borderId="13" xfId="66" applyNumberFormat="1" applyFont="1" applyBorder="1" applyAlignment="1">
      <alignment horizontal="center" wrapText="1"/>
      <protection/>
    </xf>
    <xf numFmtId="3" fontId="22" fillId="0" borderId="70" xfId="66" applyNumberFormat="1" applyFont="1" applyBorder="1" applyAlignment="1">
      <alignment horizontal="center" wrapText="1"/>
      <protection/>
    </xf>
    <xf numFmtId="3" fontId="29" fillId="35" borderId="75" xfId="66" applyNumberFormat="1" applyFont="1" applyFill="1" applyBorder="1" applyAlignment="1" applyProtection="1">
      <alignment wrapText="1"/>
      <protection locked="0"/>
    </xf>
    <xf numFmtId="167" fontId="3" fillId="0" borderId="76" xfId="66" applyBorder="1" applyAlignment="1" applyProtection="1">
      <alignment wrapText="1"/>
      <protection locked="0"/>
    </xf>
    <xf numFmtId="3" fontId="29" fillId="35" borderId="32" xfId="66" applyNumberFormat="1" applyFont="1" applyFill="1" applyBorder="1" applyAlignment="1" applyProtection="1">
      <alignment wrapText="1"/>
      <protection locked="0"/>
    </xf>
    <xf numFmtId="167" fontId="3" fillId="0" borderId="29" xfId="66" applyBorder="1" applyAlignment="1" applyProtection="1">
      <alignment wrapText="1"/>
      <protection locked="0"/>
    </xf>
    <xf numFmtId="3" fontId="29" fillId="35" borderId="77" xfId="66" applyNumberFormat="1" applyFont="1" applyFill="1" applyBorder="1" applyAlignment="1" applyProtection="1">
      <alignment wrapText="1"/>
      <protection locked="0"/>
    </xf>
    <xf numFmtId="167" fontId="3" fillId="0" borderId="43" xfId="66" applyBorder="1" applyAlignment="1" applyProtection="1">
      <alignment wrapText="1"/>
      <protection locked="0"/>
    </xf>
    <xf numFmtId="3" fontId="30" fillId="35" borderId="69" xfId="66" applyNumberFormat="1" applyFont="1" applyFill="1" applyBorder="1" applyAlignment="1" applyProtection="1">
      <alignment wrapText="1"/>
      <protection locked="0"/>
    </xf>
    <xf numFmtId="167" fontId="3" fillId="0" borderId="11" xfId="66" applyBorder="1" applyAlignment="1" applyProtection="1">
      <alignment wrapText="1"/>
      <protection locked="0"/>
    </xf>
    <xf numFmtId="3" fontId="29" fillId="35" borderId="13" xfId="66" applyNumberFormat="1" applyFont="1" applyFill="1" applyBorder="1" applyAlignment="1" applyProtection="1">
      <alignment wrapText="1"/>
      <protection locked="0"/>
    </xf>
    <xf numFmtId="167" fontId="3" fillId="0" borderId="28" xfId="66" applyBorder="1" applyAlignment="1" applyProtection="1">
      <alignment wrapText="1"/>
      <protection locked="0"/>
    </xf>
    <xf numFmtId="3" fontId="23" fillId="35" borderId="69" xfId="66" applyNumberFormat="1" applyFont="1" applyFill="1" applyBorder="1" applyAlignment="1" applyProtection="1">
      <alignment horizontal="left" wrapText="1"/>
      <protection/>
    </xf>
    <xf numFmtId="167" fontId="34" fillId="0" borderId="70" xfId="66" applyFont="1" applyBorder="1" applyAlignment="1">
      <alignment wrapText="1"/>
      <protection/>
    </xf>
    <xf numFmtId="167" fontId="3" fillId="0" borderId="24" xfId="66" applyBorder="1" applyAlignment="1">
      <alignment shrinkToFit="1"/>
      <protection/>
    </xf>
    <xf numFmtId="167" fontId="3" fillId="0" borderId="0" xfId="66" applyBorder="1" applyAlignment="1">
      <alignment shrinkToFit="1"/>
      <protection/>
    </xf>
    <xf numFmtId="4" fontId="10" fillId="0" borderId="78" xfId="66" applyNumberFormat="1" applyFont="1" applyBorder="1" applyAlignment="1" applyProtection="1">
      <alignment horizontal="center" wrapText="1"/>
      <protection locked="0"/>
    </xf>
    <xf numFmtId="3" fontId="23" fillId="35" borderId="26" xfId="66" applyNumberFormat="1" applyFont="1" applyFill="1" applyBorder="1" applyAlignment="1" applyProtection="1" quotePrefix="1">
      <alignment horizontal="left"/>
      <protection locked="0"/>
    </xf>
    <xf numFmtId="3" fontId="127" fillId="35" borderId="69" xfId="66" applyNumberFormat="1" applyFont="1" applyFill="1" applyBorder="1" applyAlignment="1" applyProtection="1">
      <alignment horizontal="left" wrapText="1"/>
      <protection/>
    </xf>
    <xf numFmtId="167" fontId="40" fillId="0" borderId="70" xfId="66" applyFont="1" applyBorder="1" applyAlignment="1">
      <alignment wrapText="1"/>
      <protection/>
    </xf>
    <xf numFmtId="167" fontId="3" fillId="0" borderId="24" xfId="66" applyBorder="1" applyAlignment="1" applyProtection="1">
      <alignment/>
      <protection locked="0"/>
    </xf>
    <xf numFmtId="167" fontId="122" fillId="0" borderId="13" xfId="66" applyFont="1" applyBorder="1" applyAlignment="1">
      <alignment horizontal="center" wrapText="1"/>
      <protection/>
    </xf>
    <xf numFmtId="167" fontId="122" fillId="0" borderId="70" xfId="66" applyFont="1" applyBorder="1" applyAlignment="1">
      <alignment horizontal="center" wrapText="1"/>
      <protection/>
    </xf>
    <xf numFmtId="3" fontId="32" fillId="0" borderId="0" xfId="66" applyNumberFormat="1" applyFont="1" applyBorder="1" applyAlignment="1" applyProtection="1">
      <alignment/>
      <protection locked="0"/>
    </xf>
    <xf numFmtId="4" fontId="23" fillId="0" borderId="78" xfId="66" applyNumberFormat="1" applyFont="1" applyBorder="1" applyAlignment="1" applyProtection="1">
      <alignment horizontal="center" wrapText="1"/>
      <protection locked="0"/>
    </xf>
    <xf numFmtId="4" fontId="23" fillId="0" borderId="70" xfId="66" applyNumberFormat="1" applyFont="1" applyBorder="1" applyAlignment="1" applyProtection="1">
      <alignment horizontal="center" wrapText="1"/>
      <protection locked="0"/>
    </xf>
    <xf numFmtId="4" fontId="23" fillId="0" borderId="69" xfId="66" applyNumberFormat="1" applyFont="1" applyBorder="1" applyAlignment="1" applyProtection="1">
      <alignment horizontal="center" wrapText="1"/>
      <protection locked="0"/>
    </xf>
    <xf numFmtId="3" fontId="22" fillId="0" borderId="26" xfId="66" applyNumberFormat="1" applyFont="1" applyBorder="1" applyAlignment="1" applyProtection="1">
      <alignment horizontal="center" vertical="center" wrapText="1"/>
      <protection/>
    </xf>
    <xf numFmtId="3" fontId="22" fillId="0" borderId="0" xfId="66" applyNumberFormat="1" applyFont="1" applyBorder="1" applyAlignment="1" applyProtection="1">
      <alignment horizontal="center" vertical="center" wrapText="1"/>
      <protection/>
    </xf>
    <xf numFmtId="3" fontId="22" fillId="0" borderId="23" xfId="66" applyNumberFormat="1" applyFont="1" applyBorder="1" applyAlignment="1" applyProtection="1">
      <alignment horizontal="center" vertical="center" wrapText="1"/>
      <protection/>
    </xf>
    <xf numFmtId="3" fontId="116" fillId="0" borderId="26" xfId="66" applyNumberFormat="1" applyFont="1" applyBorder="1" applyAlignment="1" applyProtection="1">
      <alignment horizontal="center" wrapText="1"/>
      <protection/>
    </xf>
    <xf numFmtId="3" fontId="116" fillId="0" borderId="71" xfId="66" applyNumberFormat="1" applyFont="1" applyBorder="1" applyAlignment="1" applyProtection="1">
      <alignment horizontal="center" wrapText="1"/>
      <protection/>
    </xf>
    <xf numFmtId="3" fontId="116" fillId="0" borderId="0" xfId="66" applyNumberFormat="1" applyFont="1" applyAlignment="1" applyProtection="1">
      <alignment horizontal="center" wrapText="1"/>
      <protection/>
    </xf>
    <xf numFmtId="3" fontId="116" fillId="0" borderId="42" xfId="66" applyNumberFormat="1" applyFont="1" applyBorder="1" applyAlignment="1" applyProtection="1">
      <alignment horizontal="center" wrapText="1"/>
      <protection/>
    </xf>
    <xf numFmtId="3" fontId="116" fillId="0" borderId="23" xfId="66" applyNumberFormat="1" applyFont="1" applyBorder="1" applyAlignment="1" applyProtection="1">
      <alignment horizontal="center" wrapText="1"/>
      <protection/>
    </xf>
    <xf numFmtId="3" fontId="116" fillId="0" borderId="44" xfId="66" applyNumberFormat="1" applyFont="1" applyBorder="1" applyAlignment="1" applyProtection="1">
      <alignment horizontal="center" wrapText="1"/>
      <protection/>
    </xf>
    <xf numFmtId="3" fontId="39" fillId="0" borderId="26" xfId="66" applyNumberFormat="1" applyFont="1" applyBorder="1" applyAlignment="1" applyProtection="1">
      <alignment horizontal="left" vertical="top" wrapText="1" indent="1"/>
      <protection/>
    </xf>
    <xf numFmtId="167" fontId="40" fillId="0" borderId="71" xfId="66" applyFont="1" applyBorder="1" applyAlignment="1">
      <alignment horizontal="left" vertical="top" wrapText="1" indent="1"/>
      <protection/>
    </xf>
    <xf numFmtId="167" fontId="40" fillId="0" borderId="0" xfId="66" applyFont="1" applyAlignment="1">
      <alignment horizontal="left" vertical="top" wrapText="1" indent="1"/>
      <protection/>
    </xf>
    <xf numFmtId="167" fontId="40" fillId="0" borderId="42" xfId="66" applyFont="1" applyBorder="1" applyAlignment="1">
      <alignment horizontal="left" vertical="top" wrapText="1" indent="1"/>
      <protection/>
    </xf>
    <xf numFmtId="167" fontId="40" fillId="0" borderId="23" xfId="66" applyFont="1" applyBorder="1" applyAlignment="1">
      <alignment horizontal="left" vertical="top" wrapText="1" indent="1"/>
      <protection/>
    </xf>
    <xf numFmtId="167" fontId="40" fillId="0" borderId="44" xfId="66" applyFont="1" applyBorder="1" applyAlignment="1">
      <alignment horizontal="left" vertical="top" wrapText="1" indent="1"/>
      <protection/>
    </xf>
    <xf numFmtId="3" fontId="41" fillId="0" borderId="0" xfId="66" applyNumberFormat="1" applyFont="1" applyBorder="1" applyAlignment="1" applyProtection="1">
      <alignment horizontal="left" wrapText="1"/>
      <protection/>
    </xf>
    <xf numFmtId="3" fontId="41" fillId="0" borderId="42" xfId="66" applyNumberFormat="1" applyFont="1" applyBorder="1" applyAlignment="1" applyProtection="1">
      <alignment horizontal="left" wrapText="1"/>
      <protection/>
    </xf>
    <xf numFmtId="3" fontId="39" fillId="0" borderId="48" xfId="66" applyNumberFormat="1" applyFont="1" applyBorder="1" applyAlignment="1" applyProtection="1">
      <alignment horizontal="left" vertical="center" wrapText="1"/>
      <protection/>
    </xf>
    <xf numFmtId="3" fontId="39" fillId="0" borderId="55" xfId="66" applyNumberFormat="1" applyFont="1" applyBorder="1" applyAlignment="1" applyProtection="1">
      <alignment horizontal="left" vertical="center" wrapText="1"/>
      <protection/>
    </xf>
    <xf numFmtId="3" fontId="22" fillId="0" borderId="69" xfId="66" applyNumberFormat="1" applyFont="1" applyBorder="1" applyAlignment="1" applyProtection="1">
      <alignment horizontal="center" vertical="center" wrapText="1"/>
      <protection/>
    </xf>
    <xf numFmtId="3" fontId="22" fillId="0" borderId="28" xfId="66" applyNumberFormat="1" applyFont="1" applyBorder="1" applyAlignment="1" applyProtection="1">
      <alignment horizontal="center" vertical="center" wrapText="1"/>
      <protection/>
    </xf>
    <xf numFmtId="3" fontId="22" fillId="0" borderId="70" xfId="66" applyNumberFormat="1" applyFont="1" applyBorder="1" applyAlignment="1" applyProtection="1">
      <alignment horizontal="center" vertical="center" wrapText="1"/>
      <protection/>
    </xf>
    <xf numFmtId="4" fontId="80" fillId="35" borderId="78" xfId="66" applyNumberFormat="1" applyFont="1" applyFill="1" applyBorder="1" applyAlignment="1" applyProtection="1">
      <alignment horizontal="center" wrapText="1"/>
      <protection locked="0"/>
    </xf>
    <xf numFmtId="4" fontId="80" fillId="35" borderId="70" xfId="66" applyNumberFormat="1" applyFont="1" applyFill="1" applyBorder="1" applyAlignment="1" applyProtection="1">
      <alignment horizontal="center" wrapText="1"/>
      <protection locked="0"/>
    </xf>
    <xf numFmtId="4" fontId="80" fillId="35" borderId="69" xfId="66" applyNumberFormat="1" applyFont="1" applyFill="1" applyBorder="1" applyAlignment="1" applyProtection="1">
      <alignment horizontal="center" wrapText="1"/>
      <protection locked="0"/>
    </xf>
    <xf numFmtId="3" fontId="39" fillId="0" borderId="28" xfId="66" applyNumberFormat="1" applyFont="1" applyBorder="1" applyAlignment="1">
      <alignment horizontal="center" wrapText="1"/>
      <protection/>
    </xf>
    <xf numFmtId="3" fontId="122" fillId="0" borderId="49" xfId="66" applyNumberFormat="1" applyFont="1" applyBorder="1" applyAlignment="1">
      <alignment horizontal="center"/>
      <protection/>
    </xf>
    <xf numFmtId="3" fontId="122" fillId="0" borderId="48" xfId="66" applyNumberFormat="1" applyFont="1" applyBorder="1" applyAlignment="1">
      <alignment horizontal="center"/>
      <protection/>
    </xf>
    <xf numFmtId="3" fontId="122" fillId="0" borderId="50" xfId="66" applyNumberFormat="1" applyFont="1" applyBorder="1" applyAlignment="1">
      <alignment horizontal="center"/>
      <protection/>
    </xf>
    <xf numFmtId="3" fontId="30" fillId="35" borderId="11" xfId="66" applyNumberFormat="1" applyFont="1" applyFill="1" applyBorder="1" applyAlignment="1" applyProtection="1">
      <alignment wrapText="1"/>
      <protection locked="0"/>
    </xf>
    <xf numFmtId="3" fontId="43" fillId="0" borderId="0" xfId="66" applyNumberFormat="1" applyFont="1" applyAlignment="1" applyProtection="1">
      <alignment horizontal="left" wrapText="1"/>
      <protection/>
    </xf>
    <xf numFmtId="0" fontId="0" fillId="0" borderId="0" xfId="0" applyAlignment="1">
      <alignment wrapText="1"/>
    </xf>
    <xf numFmtId="3" fontId="23" fillId="35" borderId="26" xfId="66" applyNumberFormat="1" applyFont="1" applyFill="1" applyBorder="1" applyAlignment="1" applyProtection="1">
      <alignment/>
      <protection/>
    </xf>
    <xf numFmtId="3" fontId="23" fillId="35" borderId="72" xfId="66" applyNumberFormat="1" applyFont="1" applyFill="1" applyBorder="1" applyAlignment="1" applyProtection="1">
      <alignment/>
      <protection/>
    </xf>
    <xf numFmtId="3" fontId="23" fillId="35" borderId="23" xfId="66" applyNumberFormat="1" applyFont="1" applyFill="1" applyBorder="1" applyAlignment="1" applyProtection="1">
      <alignment/>
      <protection/>
    </xf>
    <xf numFmtId="3" fontId="23" fillId="35" borderId="29" xfId="66" applyNumberFormat="1" applyFont="1" applyFill="1" applyBorder="1" applyAlignment="1" applyProtection="1">
      <alignment/>
      <protection/>
    </xf>
    <xf numFmtId="3" fontId="29" fillId="35" borderId="70" xfId="66" applyNumberFormat="1" applyFont="1" applyFill="1" applyBorder="1" applyAlignment="1" applyProtection="1">
      <alignment wrapText="1"/>
      <protection locked="0"/>
    </xf>
    <xf numFmtId="3" fontId="29" fillId="35" borderId="69" xfId="66" applyNumberFormat="1" applyFont="1" applyFill="1" applyBorder="1" applyAlignment="1" applyProtection="1">
      <alignment wrapText="1"/>
      <protection locked="0"/>
    </xf>
    <xf numFmtId="3" fontId="23" fillId="35" borderId="24" xfId="66" applyNumberFormat="1" applyFont="1" applyFill="1" applyBorder="1" applyAlignment="1" applyProtection="1">
      <alignment/>
      <protection/>
    </xf>
    <xf numFmtId="3" fontId="23" fillId="35" borderId="33" xfId="66" applyNumberFormat="1" applyFont="1" applyFill="1" applyBorder="1" applyAlignment="1" applyProtection="1">
      <alignment/>
      <protection/>
    </xf>
    <xf numFmtId="3" fontId="23" fillId="35" borderId="71" xfId="66" applyNumberFormat="1" applyFont="1" applyFill="1" applyBorder="1" applyAlignment="1" applyProtection="1">
      <alignment/>
      <protection/>
    </xf>
    <xf numFmtId="3" fontId="23" fillId="35" borderId="44" xfId="66" applyNumberFormat="1" applyFont="1" applyFill="1" applyBorder="1" applyAlignment="1" applyProtection="1">
      <alignment/>
      <protection/>
    </xf>
    <xf numFmtId="3" fontId="29" fillId="35" borderId="76" xfId="66" applyNumberFormat="1" applyFont="1" applyFill="1" applyBorder="1" applyAlignment="1" applyProtection="1">
      <alignment wrapText="1"/>
      <protection locked="0"/>
    </xf>
    <xf numFmtId="3" fontId="23" fillId="35" borderId="25" xfId="66" applyNumberFormat="1" applyFont="1" applyFill="1" applyBorder="1" applyAlignment="1" applyProtection="1">
      <alignment/>
      <protection/>
    </xf>
    <xf numFmtId="3" fontId="23" fillId="35" borderId="47" xfId="66" applyNumberFormat="1" applyFont="1" applyFill="1" applyBorder="1" applyAlignment="1" applyProtection="1">
      <alignment/>
      <protection/>
    </xf>
    <xf numFmtId="3" fontId="23" fillId="35" borderId="79" xfId="66" applyNumberFormat="1" applyFont="1" applyFill="1" applyBorder="1" applyAlignment="1" applyProtection="1">
      <alignment/>
      <protection/>
    </xf>
    <xf numFmtId="0" fontId="57" fillId="0" borderId="24" xfId="62" applyFont="1" applyFill="1" applyBorder="1" applyAlignment="1" applyProtection="1">
      <alignment wrapText="1"/>
      <protection/>
    </xf>
    <xf numFmtId="0" fontId="0" fillId="0" borderId="24" xfId="0" applyBorder="1" applyAlignment="1">
      <alignment/>
    </xf>
    <xf numFmtId="0" fontId="57" fillId="0" borderId="25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111" fillId="0" borderId="12" xfId="0" applyFont="1" applyBorder="1" applyAlignment="1">
      <alignment horizontal="center"/>
    </xf>
    <xf numFmtId="0" fontId="111" fillId="0" borderId="25" xfId="0" applyFont="1" applyBorder="1" applyAlignment="1">
      <alignment horizontal="center"/>
    </xf>
    <xf numFmtId="0" fontId="111" fillId="0" borderId="47" xfId="0" applyFont="1" applyBorder="1" applyAlignment="1">
      <alignment horizontal="center"/>
    </xf>
    <xf numFmtId="0" fontId="111" fillId="0" borderId="14" xfId="0" applyFont="1" applyBorder="1" applyAlignment="1">
      <alignment horizontal="center" vertical="top"/>
    </xf>
    <xf numFmtId="0" fontId="111" fillId="0" borderId="24" xfId="0" applyFont="1" applyBorder="1" applyAlignment="1">
      <alignment horizontal="center" vertical="top"/>
    </xf>
    <xf numFmtId="0" fontId="111" fillId="0" borderId="33" xfId="0" applyFont="1" applyBorder="1" applyAlignment="1">
      <alignment horizontal="center" vertical="top"/>
    </xf>
    <xf numFmtId="0" fontId="52" fillId="0" borderId="13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rmal_CHKLST1" xfId="62"/>
    <cellStyle name="Normal_CHKLST2" xfId="63"/>
    <cellStyle name="Normal_ENTBUDGT" xfId="64"/>
    <cellStyle name="Normal_FIRSTBUD" xfId="65"/>
    <cellStyle name="Normal_NIH_398_501" xfId="66"/>
    <cellStyle name="Normal_NIHChecklist" xfId="67"/>
    <cellStyle name="Normal_Subcontracts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33</xdr:row>
      <xdr:rowOff>0</xdr:rowOff>
    </xdr:from>
    <xdr:to>
      <xdr:col>11</xdr:col>
      <xdr:colOff>95250</xdr:colOff>
      <xdr:row>35</xdr:row>
      <xdr:rowOff>19050</xdr:rowOff>
    </xdr:to>
    <xdr:pic>
      <xdr:nvPicPr>
        <xdr:cNvPr id="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676900"/>
          <a:ext cx="952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11</xdr:col>
      <xdr:colOff>123825</xdr:colOff>
      <xdr:row>33</xdr:row>
      <xdr:rowOff>19050</xdr:rowOff>
    </xdr:from>
    <xdr:to>
      <xdr:col>11</xdr:col>
      <xdr:colOff>247650</xdr:colOff>
      <xdr:row>33</xdr:row>
      <xdr:rowOff>133350</xdr:rowOff>
    </xdr:to>
    <xdr:sp>
      <xdr:nvSpPr>
        <xdr:cNvPr id="2" name="Rectangle 3"/>
        <xdr:cNvSpPr>
          <a:spLocks/>
        </xdr:cNvSpPr>
      </xdr:nvSpPr>
      <xdr:spPr>
        <a:xfrm>
          <a:off x="4914900" y="5695950"/>
          <a:ext cx="1238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34</xdr:row>
      <xdr:rowOff>19050</xdr:rowOff>
    </xdr:from>
    <xdr:to>
      <xdr:col>11</xdr:col>
      <xdr:colOff>247650</xdr:colOff>
      <xdr:row>34</xdr:row>
      <xdr:rowOff>133350</xdr:rowOff>
    </xdr:to>
    <xdr:sp>
      <xdr:nvSpPr>
        <xdr:cNvPr id="3" name="Rectangle 4"/>
        <xdr:cNvSpPr>
          <a:spLocks/>
        </xdr:cNvSpPr>
      </xdr:nvSpPr>
      <xdr:spPr>
        <a:xfrm>
          <a:off x="4914900" y="5895975"/>
          <a:ext cx="1238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35</xdr:row>
      <xdr:rowOff>19050</xdr:rowOff>
    </xdr:from>
    <xdr:to>
      <xdr:col>11</xdr:col>
      <xdr:colOff>247650</xdr:colOff>
      <xdr:row>35</xdr:row>
      <xdr:rowOff>133350</xdr:rowOff>
    </xdr:to>
    <xdr:sp>
      <xdr:nvSpPr>
        <xdr:cNvPr id="4" name="Rectangle 5"/>
        <xdr:cNvSpPr>
          <a:spLocks/>
        </xdr:cNvSpPr>
      </xdr:nvSpPr>
      <xdr:spPr>
        <a:xfrm>
          <a:off x="4914900" y="6096000"/>
          <a:ext cx="1238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34</xdr:row>
      <xdr:rowOff>19050</xdr:rowOff>
    </xdr:from>
    <xdr:to>
      <xdr:col>11</xdr:col>
      <xdr:colOff>247650</xdr:colOff>
      <xdr:row>34</xdr:row>
      <xdr:rowOff>133350</xdr:rowOff>
    </xdr:to>
    <xdr:sp>
      <xdr:nvSpPr>
        <xdr:cNvPr id="5" name="Rectangle 6"/>
        <xdr:cNvSpPr>
          <a:spLocks/>
        </xdr:cNvSpPr>
      </xdr:nvSpPr>
      <xdr:spPr>
        <a:xfrm>
          <a:off x="4914900" y="5895975"/>
          <a:ext cx="1238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35</xdr:row>
      <xdr:rowOff>19050</xdr:rowOff>
    </xdr:from>
    <xdr:to>
      <xdr:col>11</xdr:col>
      <xdr:colOff>247650</xdr:colOff>
      <xdr:row>35</xdr:row>
      <xdr:rowOff>133350</xdr:rowOff>
    </xdr:to>
    <xdr:sp>
      <xdr:nvSpPr>
        <xdr:cNvPr id="6" name="Rectangle 7"/>
        <xdr:cNvSpPr>
          <a:spLocks/>
        </xdr:cNvSpPr>
      </xdr:nvSpPr>
      <xdr:spPr>
        <a:xfrm>
          <a:off x="4914900" y="6096000"/>
          <a:ext cx="1238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33</xdr:row>
      <xdr:rowOff>19050</xdr:rowOff>
    </xdr:from>
    <xdr:to>
      <xdr:col>13</xdr:col>
      <xdr:colOff>200025</xdr:colOff>
      <xdr:row>33</xdr:row>
      <xdr:rowOff>133350</xdr:rowOff>
    </xdr:to>
    <xdr:sp>
      <xdr:nvSpPr>
        <xdr:cNvPr id="7" name="Rectangle 8"/>
        <xdr:cNvSpPr>
          <a:spLocks/>
        </xdr:cNvSpPr>
      </xdr:nvSpPr>
      <xdr:spPr>
        <a:xfrm>
          <a:off x="5657850" y="5695950"/>
          <a:ext cx="1238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35</xdr:row>
      <xdr:rowOff>19050</xdr:rowOff>
    </xdr:from>
    <xdr:to>
      <xdr:col>13</xdr:col>
      <xdr:colOff>200025</xdr:colOff>
      <xdr:row>35</xdr:row>
      <xdr:rowOff>133350</xdr:rowOff>
    </xdr:to>
    <xdr:sp>
      <xdr:nvSpPr>
        <xdr:cNvPr id="8" name="Rectangle 9"/>
        <xdr:cNvSpPr>
          <a:spLocks/>
        </xdr:cNvSpPr>
      </xdr:nvSpPr>
      <xdr:spPr>
        <a:xfrm>
          <a:off x="5657850" y="6096000"/>
          <a:ext cx="1238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133350</xdr:rowOff>
    </xdr:from>
    <xdr:to>
      <xdr:col>8</xdr:col>
      <xdr:colOff>857250</xdr:colOff>
      <xdr:row>5</xdr:row>
      <xdr:rowOff>38100</xdr:rowOff>
    </xdr:to>
    <xdr:sp>
      <xdr:nvSpPr>
        <xdr:cNvPr id="9" name="Text 52"/>
        <xdr:cNvSpPr txBox="1">
          <a:spLocks noChangeArrowheads="1"/>
        </xdr:cNvSpPr>
      </xdr:nvSpPr>
      <xdr:spPr>
        <a:xfrm>
          <a:off x="57150" y="590550"/>
          <a:ext cx="363855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Grant Application</a:t>
          </a:r>
        </a:p>
      </xdr:txBody>
    </xdr:sp>
    <xdr:clientData/>
  </xdr:twoCellAnchor>
  <xdr:twoCellAnchor>
    <xdr:from>
      <xdr:col>15</xdr:col>
      <xdr:colOff>342900</xdr:colOff>
      <xdr:row>33</xdr:row>
      <xdr:rowOff>19050</xdr:rowOff>
    </xdr:from>
    <xdr:to>
      <xdr:col>15</xdr:col>
      <xdr:colOff>466725</xdr:colOff>
      <xdr:row>33</xdr:row>
      <xdr:rowOff>133350</xdr:rowOff>
    </xdr:to>
    <xdr:sp>
      <xdr:nvSpPr>
        <xdr:cNvPr id="10" name="Rectangle 11"/>
        <xdr:cNvSpPr>
          <a:spLocks/>
        </xdr:cNvSpPr>
      </xdr:nvSpPr>
      <xdr:spPr>
        <a:xfrm>
          <a:off x="6362700" y="5695950"/>
          <a:ext cx="1238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52</xdr:row>
      <xdr:rowOff>19050</xdr:rowOff>
    </xdr:from>
    <xdr:to>
      <xdr:col>8</xdr:col>
      <xdr:colOff>733425</xdr:colOff>
      <xdr:row>55</xdr:row>
      <xdr:rowOff>85725</xdr:rowOff>
    </xdr:to>
    <xdr:sp>
      <xdr:nvSpPr>
        <xdr:cNvPr id="11" name="Text 62"/>
        <xdr:cNvSpPr txBox="1">
          <a:spLocks noChangeArrowheads="1"/>
        </xdr:cNvSpPr>
      </xdr:nvSpPr>
      <xdr:spPr>
        <a:xfrm>
          <a:off x="28575" y="8963025"/>
          <a:ext cx="354330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 certify that the statements herein are true, complete and accurate to the best of my knowledge, and accept the obligation to comply with Public Health Service terms and conditions if a grant is awarded as a result of this application. I am aware that any false, fictitious, or fraudulent statements   or claims may subject me to criminal, civil, or administrative penalties. </a:t>
          </a:r>
        </a:p>
      </xdr:txBody>
    </xdr:sp>
    <xdr:clientData/>
  </xdr:twoCellAnchor>
  <xdr:twoCellAnchor>
    <xdr:from>
      <xdr:col>9</xdr:col>
      <xdr:colOff>123825</xdr:colOff>
      <xdr:row>36</xdr:row>
      <xdr:rowOff>19050</xdr:rowOff>
    </xdr:from>
    <xdr:to>
      <xdr:col>9</xdr:col>
      <xdr:colOff>247650</xdr:colOff>
      <xdr:row>36</xdr:row>
      <xdr:rowOff>133350</xdr:rowOff>
    </xdr:to>
    <xdr:sp>
      <xdr:nvSpPr>
        <xdr:cNvPr id="12" name="Rectangle 30"/>
        <xdr:cNvSpPr>
          <a:spLocks/>
        </xdr:cNvSpPr>
      </xdr:nvSpPr>
      <xdr:spPr>
        <a:xfrm>
          <a:off x="3886200" y="6315075"/>
          <a:ext cx="1238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36</xdr:row>
      <xdr:rowOff>19050</xdr:rowOff>
    </xdr:from>
    <xdr:to>
      <xdr:col>12</xdr:col>
      <xdr:colOff>47625</xdr:colOff>
      <xdr:row>36</xdr:row>
      <xdr:rowOff>133350</xdr:rowOff>
    </xdr:to>
    <xdr:sp>
      <xdr:nvSpPr>
        <xdr:cNvPr id="13" name="Rectangle 31"/>
        <xdr:cNvSpPr>
          <a:spLocks/>
        </xdr:cNvSpPr>
      </xdr:nvSpPr>
      <xdr:spPr>
        <a:xfrm>
          <a:off x="4972050" y="6315075"/>
          <a:ext cx="1238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49</xdr:row>
      <xdr:rowOff>133350</xdr:rowOff>
    </xdr:from>
    <xdr:to>
      <xdr:col>8</xdr:col>
      <xdr:colOff>438150</xdr:colOff>
      <xdr:row>49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5143500" y="80581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49</xdr:row>
      <xdr:rowOff>152400</xdr:rowOff>
    </xdr:from>
    <xdr:to>
      <xdr:col>8</xdr:col>
      <xdr:colOff>428625</xdr:colOff>
      <xdr:row>49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248275" y="80772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49</xdr:row>
      <xdr:rowOff>142875</xdr:rowOff>
    </xdr:from>
    <xdr:to>
      <xdr:col>8</xdr:col>
      <xdr:colOff>542925</xdr:colOff>
      <xdr:row>49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495925" y="8067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49</xdr:row>
      <xdr:rowOff>161925</xdr:rowOff>
    </xdr:from>
    <xdr:to>
      <xdr:col>8</xdr:col>
      <xdr:colOff>485775</xdr:colOff>
      <xdr:row>49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486400" y="80867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49</xdr:row>
      <xdr:rowOff>161925</xdr:rowOff>
    </xdr:from>
    <xdr:to>
      <xdr:col>8</xdr:col>
      <xdr:colOff>333375</xdr:colOff>
      <xdr:row>49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276850" y="80867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38350" y="4781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9525</xdr:rowOff>
    </xdr:from>
    <xdr:to>
      <xdr:col>0</xdr:col>
      <xdr:colOff>238125</xdr:colOff>
      <xdr:row>34</xdr:row>
      <xdr:rowOff>180975</xdr:rowOff>
    </xdr:to>
    <xdr:sp>
      <xdr:nvSpPr>
        <xdr:cNvPr id="2" name="Rectangle 6"/>
        <xdr:cNvSpPr>
          <a:spLocks/>
        </xdr:cNvSpPr>
      </xdr:nvSpPr>
      <xdr:spPr>
        <a:xfrm>
          <a:off x="66675" y="5610225"/>
          <a:ext cx="1714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36</xdr:row>
      <xdr:rowOff>9525</xdr:rowOff>
    </xdr:from>
    <xdr:to>
      <xdr:col>0</xdr:col>
      <xdr:colOff>238125</xdr:colOff>
      <xdr:row>36</xdr:row>
      <xdr:rowOff>180975</xdr:rowOff>
    </xdr:to>
    <xdr:sp>
      <xdr:nvSpPr>
        <xdr:cNvPr id="3" name="Rectangle 7"/>
        <xdr:cNvSpPr>
          <a:spLocks/>
        </xdr:cNvSpPr>
      </xdr:nvSpPr>
      <xdr:spPr>
        <a:xfrm>
          <a:off x="66675" y="5876925"/>
          <a:ext cx="1714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9525</xdr:rowOff>
    </xdr:from>
    <xdr:to>
      <xdr:col>0</xdr:col>
      <xdr:colOff>238125</xdr:colOff>
      <xdr:row>38</xdr:row>
      <xdr:rowOff>180975</xdr:rowOff>
    </xdr:to>
    <xdr:sp>
      <xdr:nvSpPr>
        <xdr:cNvPr id="4" name="Rectangle 8"/>
        <xdr:cNvSpPr>
          <a:spLocks/>
        </xdr:cNvSpPr>
      </xdr:nvSpPr>
      <xdr:spPr>
        <a:xfrm>
          <a:off x="66675" y="6134100"/>
          <a:ext cx="1714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49</xdr:row>
      <xdr:rowOff>28575</xdr:rowOff>
    </xdr:from>
    <xdr:to>
      <xdr:col>1</xdr:col>
      <xdr:colOff>0</xdr:colOff>
      <xdr:row>49</xdr:row>
      <xdr:rowOff>200025</xdr:rowOff>
    </xdr:to>
    <xdr:sp>
      <xdr:nvSpPr>
        <xdr:cNvPr id="5" name="Rectangle 9"/>
        <xdr:cNvSpPr>
          <a:spLocks/>
        </xdr:cNvSpPr>
      </xdr:nvSpPr>
      <xdr:spPr>
        <a:xfrm>
          <a:off x="76200" y="8382000"/>
          <a:ext cx="1714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49</xdr:row>
      <xdr:rowOff>28575</xdr:rowOff>
    </xdr:from>
    <xdr:to>
      <xdr:col>5</xdr:col>
      <xdr:colOff>0</xdr:colOff>
      <xdr:row>49</xdr:row>
      <xdr:rowOff>200025</xdr:rowOff>
    </xdr:to>
    <xdr:sp>
      <xdr:nvSpPr>
        <xdr:cNvPr id="6" name="Rectangle 10"/>
        <xdr:cNvSpPr>
          <a:spLocks/>
        </xdr:cNvSpPr>
      </xdr:nvSpPr>
      <xdr:spPr>
        <a:xfrm>
          <a:off x="2619375" y="8382000"/>
          <a:ext cx="2857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49</xdr:row>
      <xdr:rowOff>28575</xdr:rowOff>
    </xdr:from>
    <xdr:to>
      <xdr:col>9</xdr:col>
      <xdr:colOff>266700</xdr:colOff>
      <xdr:row>49</xdr:row>
      <xdr:rowOff>200025</xdr:rowOff>
    </xdr:to>
    <xdr:sp>
      <xdr:nvSpPr>
        <xdr:cNvPr id="7" name="Rectangle 11"/>
        <xdr:cNvSpPr>
          <a:spLocks/>
        </xdr:cNvSpPr>
      </xdr:nvSpPr>
      <xdr:spPr>
        <a:xfrm>
          <a:off x="5553075" y="8382000"/>
          <a:ext cx="1714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50</xdr:row>
      <xdr:rowOff>0</xdr:rowOff>
    </xdr:from>
    <xdr:to>
      <xdr:col>1</xdr:col>
      <xdr:colOff>0</xdr:colOff>
      <xdr:row>50</xdr:row>
      <xdr:rowOff>171450</xdr:rowOff>
    </xdr:to>
    <xdr:sp>
      <xdr:nvSpPr>
        <xdr:cNvPr id="8" name="Rectangle 16"/>
        <xdr:cNvSpPr>
          <a:spLocks/>
        </xdr:cNvSpPr>
      </xdr:nvSpPr>
      <xdr:spPr>
        <a:xfrm>
          <a:off x="76200" y="8572500"/>
          <a:ext cx="1714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35</xdr:row>
      <xdr:rowOff>9525</xdr:rowOff>
    </xdr:from>
    <xdr:to>
      <xdr:col>7</xdr:col>
      <xdr:colOff>28575</xdr:colOff>
      <xdr:row>35</xdr:row>
      <xdr:rowOff>9525</xdr:rowOff>
    </xdr:to>
    <xdr:sp>
      <xdr:nvSpPr>
        <xdr:cNvPr id="9" name="Line 40"/>
        <xdr:cNvSpPr>
          <a:spLocks/>
        </xdr:cNvSpPr>
      </xdr:nvSpPr>
      <xdr:spPr>
        <a:xfrm>
          <a:off x="1924050" y="58007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36</xdr:row>
      <xdr:rowOff>180975</xdr:rowOff>
    </xdr:from>
    <xdr:to>
      <xdr:col>8</xdr:col>
      <xdr:colOff>600075</xdr:colOff>
      <xdr:row>36</xdr:row>
      <xdr:rowOff>180975</xdr:rowOff>
    </xdr:to>
    <xdr:sp>
      <xdr:nvSpPr>
        <xdr:cNvPr id="10" name="Line 41"/>
        <xdr:cNvSpPr>
          <a:spLocks/>
        </xdr:cNvSpPr>
      </xdr:nvSpPr>
      <xdr:spPr>
        <a:xfrm>
          <a:off x="2533650" y="604837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38</xdr:row>
      <xdr:rowOff>219075</xdr:rowOff>
    </xdr:from>
    <xdr:to>
      <xdr:col>8</xdr:col>
      <xdr:colOff>523875</xdr:colOff>
      <xdr:row>38</xdr:row>
      <xdr:rowOff>219075</xdr:rowOff>
    </xdr:to>
    <xdr:sp>
      <xdr:nvSpPr>
        <xdr:cNvPr id="11" name="Line 42"/>
        <xdr:cNvSpPr>
          <a:spLocks/>
        </xdr:cNvSpPr>
      </xdr:nvSpPr>
      <xdr:spPr>
        <a:xfrm>
          <a:off x="2962275" y="6343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38</xdr:row>
      <xdr:rowOff>200025</xdr:rowOff>
    </xdr:from>
    <xdr:to>
      <xdr:col>12</xdr:col>
      <xdr:colOff>9525</xdr:colOff>
      <xdr:row>38</xdr:row>
      <xdr:rowOff>200025</xdr:rowOff>
    </xdr:to>
    <xdr:sp>
      <xdr:nvSpPr>
        <xdr:cNvPr id="12" name="Line 43"/>
        <xdr:cNvSpPr>
          <a:spLocks/>
        </xdr:cNvSpPr>
      </xdr:nvSpPr>
      <xdr:spPr>
        <a:xfrm>
          <a:off x="5743575" y="63246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9</xdr:row>
      <xdr:rowOff>0</xdr:rowOff>
    </xdr:from>
    <xdr:to>
      <xdr:col>8</xdr:col>
      <xdr:colOff>57150</xdr:colOff>
      <xdr:row>9</xdr:row>
      <xdr:rowOff>0</xdr:rowOff>
    </xdr:to>
    <xdr:sp>
      <xdr:nvSpPr>
        <xdr:cNvPr id="13" name="Line 44"/>
        <xdr:cNvSpPr>
          <a:spLocks/>
        </xdr:cNvSpPr>
      </xdr:nvSpPr>
      <xdr:spPr>
        <a:xfrm>
          <a:off x="3476625" y="16002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11</xdr:row>
      <xdr:rowOff>152400</xdr:rowOff>
    </xdr:from>
    <xdr:to>
      <xdr:col>6</xdr:col>
      <xdr:colOff>495300</xdr:colOff>
      <xdr:row>11</xdr:row>
      <xdr:rowOff>152400</xdr:rowOff>
    </xdr:to>
    <xdr:sp>
      <xdr:nvSpPr>
        <xdr:cNvPr id="14" name="Line 45"/>
        <xdr:cNvSpPr>
          <a:spLocks/>
        </xdr:cNvSpPr>
      </xdr:nvSpPr>
      <xdr:spPr>
        <a:xfrm flipV="1">
          <a:off x="2009775" y="19907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152400</xdr:rowOff>
    </xdr:from>
    <xdr:to>
      <xdr:col>12</xdr:col>
      <xdr:colOff>9525</xdr:colOff>
      <xdr:row>14</xdr:row>
      <xdr:rowOff>152400</xdr:rowOff>
    </xdr:to>
    <xdr:sp>
      <xdr:nvSpPr>
        <xdr:cNvPr id="15" name="Line 46"/>
        <xdr:cNvSpPr>
          <a:spLocks/>
        </xdr:cNvSpPr>
      </xdr:nvSpPr>
      <xdr:spPr>
        <a:xfrm>
          <a:off x="3448050" y="2524125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161925</xdr:rowOff>
    </xdr:from>
    <xdr:to>
      <xdr:col>12</xdr:col>
      <xdr:colOff>0</xdr:colOff>
      <xdr:row>15</xdr:row>
      <xdr:rowOff>171450</xdr:rowOff>
    </xdr:to>
    <xdr:sp>
      <xdr:nvSpPr>
        <xdr:cNvPr id="16" name="Line 52"/>
        <xdr:cNvSpPr>
          <a:spLocks/>
        </xdr:cNvSpPr>
      </xdr:nvSpPr>
      <xdr:spPr>
        <a:xfrm>
          <a:off x="3352800" y="2714625"/>
          <a:ext cx="4086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6</xdr:row>
      <xdr:rowOff>0</xdr:rowOff>
    </xdr:from>
    <xdr:to>
      <xdr:col>6</xdr:col>
      <xdr:colOff>28575</xdr:colOff>
      <xdr:row>6</xdr:row>
      <xdr:rowOff>0</xdr:rowOff>
    </xdr:to>
    <xdr:sp>
      <xdr:nvSpPr>
        <xdr:cNvPr id="17" name="Line 54"/>
        <xdr:cNvSpPr>
          <a:spLocks/>
        </xdr:cNvSpPr>
      </xdr:nvSpPr>
      <xdr:spPr>
        <a:xfrm flipH="1">
          <a:off x="3143250" y="11144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search.buffalo.edu/NIHModularShortF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Here"/>
      <sheetName val="ModularBudget"/>
      <sheetName val="FacePage"/>
      <sheetName val="Checklist"/>
      <sheetName val="JustificationData"/>
      <sheetName val="F&amp;A"/>
      <sheetName val="Module1"/>
      <sheetName val="Module2"/>
      <sheetName val="Module3"/>
      <sheetName val="Module4"/>
      <sheetName val="Module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G122"/>
  <sheetViews>
    <sheetView showGridLines="0" tabSelected="1" workbookViewId="0" topLeftCell="A1">
      <selection activeCell="C3" sqref="C3"/>
    </sheetView>
  </sheetViews>
  <sheetFormatPr defaultColWidth="6.8515625" defaultRowHeight="12.75"/>
  <cols>
    <col min="1" max="1" width="3.00390625" style="1" customWidth="1"/>
    <col min="2" max="2" width="22.8515625" style="1" customWidth="1"/>
    <col min="3" max="3" width="9.140625" style="1" customWidth="1"/>
    <col min="4" max="6" width="9.28125" style="1" customWidth="1"/>
    <col min="7" max="7" width="9.57421875" style="1" customWidth="1"/>
    <col min="8" max="8" width="8.421875" style="1" customWidth="1"/>
    <col min="9" max="9" width="5.57421875" style="1" customWidth="1"/>
    <col min="10" max="10" width="6.8515625" style="1" customWidth="1"/>
    <col min="11" max="12" width="8.00390625" style="1" bestFit="1" customWidth="1"/>
    <col min="13" max="13" width="8.140625" style="1" bestFit="1" customWidth="1"/>
    <col min="14" max="14" width="3.7109375" style="1" customWidth="1"/>
    <col min="15" max="15" width="7.00390625" style="1" bestFit="1" customWidth="1"/>
    <col min="16" max="17" width="6.8515625" style="1" customWidth="1"/>
    <col min="18" max="18" width="9.140625" style="1" bestFit="1" customWidth="1"/>
    <col min="19" max="19" width="7.8515625" style="1" customWidth="1"/>
    <col min="20" max="20" width="7.00390625" style="1" bestFit="1" customWidth="1"/>
    <col min="21" max="21" width="7.00390625" style="1" customWidth="1"/>
    <col min="22" max="22" width="7.28125" style="1" customWidth="1"/>
    <col min="23" max="23" width="8.28125" style="1" customWidth="1"/>
    <col min="24" max="24" width="7.57421875" style="1" customWidth="1"/>
    <col min="25" max="25" width="7.7109375" style="1" customWidth="1"/>
    <col min="26" max="26" width="3.140625" style="1" customWidth="1"/>
    <col min="27" max="27" width="9.140625" style="1" bestFit="1" customWidth="1"/>
    <col min="28" max="28" width="6.57421875" style="1" customWidth="1"/>
    <col min="29" max="29" width="10.57421875" style="1" customWidth="1"/>
    <col min="30" max="30" width="8.00390625" style="1" bestFit="1" customWidth="1"/>
    <col min="31" max="31" width="7.421875" style="1" customWidth="1"/>
    <col min="32" max="16384" width="6.8515625" style="1" customWidth="1"/>
  </cols>
  <sheetData>
    <row r="1" spans="1:31" ht="30.75" customHeight="1">
      <c r="A1" s="989" t="s">
        <v>0</v>
      </c>
      <c r="B1" s="990"/>
      <c r="C1" s="990"/>
      <c r="D1" s="990"/>
      <c r="E1" s="990"/>
      <c r="F1" s="990"/>
      <c r="G1" s="990"/>
      <c r="H1" s="990"/>
      <c r="I1" s="990"/>
      <c r="J1" s="990"/>
      <c r="K1" s="830">
        <v>38169</v>
      </c>
      <c r="L1" s="830">
        <v>38534</v>
      </c>
      <c r="M1" s="830">
        <v>38899</v>
      </c>
      <c r="N1" s="4"/>
      <c r="Z1" s="825"/>
      <c r="AA1" s="825"/>
      <c r="AB1" s="825"/>
      <c r="AC1" s="825"/>
      <c r="AD1" s="825"/>
      <c r="AE1" s="825"/>
    </row>
    <row r="2" spans="5:31" ht="12.75">
      <c r="E2" s="827"/>
      <c r="F2" s="827"/>
      <c r="G2" s="827"/>
      <c r="H2" s="827"/>
      <c r="I2" s="827"/>
      <c r="J2" s="827"/>
      <c r="K2" s="950">
        <v>57.5</v>
      </c>
      <c r="L2" s="950">
        <v>58.5</v>
      </c>
      <c r="M2" s="950">
        <v>58.5</v>
      </c>
      <c r="N2" s="825"/>
      <c r="Z2" s="825"/>
      <c r="AA2" s="825"/>
      <c r="AB2" s="825"/>
      <c r="AC2" s="825"/>
      <c r="AD2" s="825"/>
      <c r="AE2" s="825"/>
    </row>
    <row r="3" spans="2:31" ht="12.75">
      <c r="B3" s="2" t="s">
        <v>1</v>
      </c>
      <c r="C3" s="3"/>
      <c r="E3" s="827"/>
      <c r="F3" s="827"/>
      <c r="G3" s="827"/>
      <c r="H3" s="827"/>
      <c r="I3" s="827"/>
      <c r="J3" s="827"/>
      <c r="K3" s="950" t="s">
        <v>263</v>
      </c>
      <c r="L3" s="950" t="s">
        <v>264</v>
      </c>
      <c r="M3" s="950" t="s">
        <v>265</v>
      </c>
      <c r="N3" s="825"/>
      <c r="AE3" s="825"/>
    </row>
    <row r="4" spans="5:31" ht="12.75">
      <c r="E4" s="827"/>
      <c r="F4" s="827"/>
      <c r="G4" s="827"/>
      <c r="H4" s="827"/>
      <c r="I4" s="827"/>
      <c r="J4" s="827"/>
      <c r="K4" s="951" t="s">
        <v>274</v>
      </c>
      <c r="L4" s="951" t="s">
        <v>275</v>
      </c>
      <c r="M4" s="951" t="s">
        <v>327</v>
      </c>
      <c r="N4" s="825"/>
      <c r="AE4" s="825"/>
    </row>
    <row r="5" spans="2:31" ht="12.75">
      <c r="B5" s="2" t="s">
        <v>2</v>
      </c>
      <c r="E5" s="827">
        <v>1</v>
      </c>
      <c r="F5" s="952">
        <v>5</v>
      </c>
      <c r="G5" s="827"/>
      <c r="H5" s="827"/>
      <c r="I5" s="827"/>
      <c r="J5" s="827"/>
      <c r="K5" s="827"/>
      <c r="L5" s="827"/>
      <c r="M5" s="827"/>
      <c r="N5" s="825"/>
      <c r="O5" s="825"/>
      <c r="P5" s="825"/>
      <c r="AE5" s="825"/>
    </row>
    <row r="6" spans="5:31" ht="12.75">
      <c r="E6" s="827">
        <v>2</v>
      </c>
      <c r="F6" s="827"/>
      <c r="G6" s="827"/>
      <c r="H6" s="827"/>
      <c r="I6" s="827"/>
      <c r="J6" s="938"/>
      <c r="K6" s="938"/>
      <c r="L6" s="938"/>
      <c r="M6" s="938"/>
      <c r="N6" s="913"/>
      <c r="O6" s="825"/>
      <c r="P6" s="825"/>
      <c r="AE6" s="825"/>
    </row>
    <row r="7" spans="5:31" ht="12.75">
      <c r="E7" s="827">
        <v>3</v>
      </c>
      <c r="F7" s="827"/>
      <c r="G7" s="827"/>
      <c r="H7" s="827"/>
      <c r="I7" s="827"/>
      <c r="J7" s="826"/>
      <c r="K7" s="826"/>
      <c r="L7" s="826"/>
      <c r="M7" s="826"/>
      <c r="N7" s="913"/>
      <c r="O7" s="825"/>
      <c r="P7" s="825"/>
      <c r="Q7" s="825"/>
      <c r="AE7" s="825"/>
    </row>
    <row r="8" spans="2:31" ht="12.75">
      <c r="B8" s="2" t="s">
        <v>3</v>
      </c>
      <c r="E8" s="827">
        <v>4</v>
      </c>
      <c r="F8" s="827"/>
      <c r="G8" s="827"/>
      <c r="H8" s="827"/>
      <c r="I8" s="827"/>
      <c r="J8" s="827"/>
      <c r="K8" s="827"/>
      <c r="L8" s="827"/>
      <c r="M8" s="827"/>
      <c r="P8" s="825"/>
      <c r="Q8" s="825"/>
      <c r="AE8" s="825"/>
    </row>
    <row r="9" spans="2:31" ht="12.75">
      <c r="B9" s="1" t="s">
        <v>5</v>
      </c>
      <c r="C9" s="5"/>
      <c r="E9" s="827">
        <v>5</v>
      </c>
      <c r="F9" s="827"/>
      <c r="G9" s="827"/>
      <c r="H9" s="827"/>
      <c r="I9" s="827"/>
      <c r="J9" s="827"/>
      <c r="K9" s="827"/>
      <c r="L9" s="827"/>
      <c r="M9" s="827"/>
      <c r="P9" s="825"/>
      <c r="Q9" s="825"/>
      <c r="AE9" s="825"/>
    </row>
    <row r="10" spans="2:31" ht="12.75">
      <c r="B10" s="1" t="s">
        <v>7</v>
      </c>
      <c r="C10" s="6"/>
      <c r="E10" s="827"/>
      <c r="F10" s="827"/>
      <c r="G10" s="827"/>
      <c r="H10" s="827"/>
      <c r="I10" s="827"/>
      <c r="J10" s="827"/>
      <c r="K10" s="827"/>
      <c r="L10" s="827"/>
      <c r="M10" s="827"/>
      <c r="P10" s="825"/>
      <c r="Q10" s="825"/>
      <c r="AE10" s="825"/>
    </row>
    <row r="11" spans="9:31" ht="12.75">
      <c r="I11" s="825"/>
      <c r="P11" s="825"/>
      <c r="Q11" s="825"/>
      <c r="AE11" s="825"/>
    </row>
    <row r="12" spans="4:31" ht="12.75">
      <c r="D12" s="7"/>
      <c r="I12" s="825"/>
      <c r="P12" s="825"/>
      <c r="Q12" s="825"/>
      <c r="AE12" s="825"/>
    </row>
    <row r="13" spans="1:31" ht="12.75">
      <c r="A13" s="917" t="s">
        <v>436</v>
      </c>
      <c r="B13" s="918"/>
      <c r="C13" s="918"/>
      <c r="D13" s="918"/>
      <c r="E13" s="918"/>
      <c r="F13" s="918"/>
      <c r="G13" s="918"/>
      <c r="H13" s="918"/>
      <c r="I13" s="918"/>
      <c r="J13" s="918"/>
      <c r="K13" s="918"/>
      <c r="L13" s="918"/>
      <c r="M13" s="918"/>
      <c r="N13" s="918"/>
      <c r="O13" s="918"/>
      <c r="P13" s="918"/>
      <c r="Q13" s="918"/>
      <c r="R13" s="918"/>
      <c r="S13" s="918"/>
      <c r="T13" s="918"/>
      <c r="U13" s="918"/>
      <c r="V13" s="918"/>
      <c r="W13" s="918"/>
      <c r="X13" s="918"/>
      <c r="Y13" s="918"/>
      <c r="Z13" s="918"/>
      <c r="AA13" s="918"/>
      <c r="AB13" s="918"/>
      <c r="AC13" s="918"/>
      <c r="AD13" s="918"/>
      <c r="AE13" s="918"/>
    </row>
    <row r="14" spans="1:31" ht="12.75">
      <c r="A14" s="918" t="s">
        <v>437</v>
      </c>
      <c r="B14" s="918"/>
      <c r="C14" s="918"/>
      <c r="D14" s="918"/>
      <c r="E14" s="918"/>
      <c r="F14" s="918"/>
      <c r="G14" s="918"/>
      <c r="H14" s="918"/>
      <c r="I14" s="918"/>
      <c r="J14" s="919"/>
      <c r="K14" s="920"/>
      <c r="L14" s="921"/>
      <c r="M14" s="922"/>
      <c r="N14" s="922"/>
      <c r="O14" s="922"/>
      <c r="P14" s="922"/>
      <c r="Q14" s="923"/>
      <c r="R14" s="919"/>
      <c r="S14" s="918"/>
      <c r="T14" s="918"/>
      <c r="U14" s="918"/>
      <c r="V14" s="918"/>
      <c r="W14" s="918"/>
      <c r="X14" s="918"/>
      <c r="Y14" s="918"/>
      <c r="Z14" s="918"/>
      <c r="AA14" s="918"/>
      <c r="AB14" s="918"/>
      <c r="AC14" s="918"/>
      <c r="AD14" s="918"/>
      <c r="AE14" s="918"/>
    </row>
    <row r="15" spans="1:31" ht="12.75">
      <c r="A15" s="918"/>
      <c r="B15" s="918"/>
      <c r="C15" s="924"/>
      <c r="D15" s="918"/>
      <c r="E15" s="918"/>
      <c r="F15" s="918"/>
      <c r="G15" s="918"/>
      <c r="H15" s="918"/>
      <c r="I15" s="918"/>
      <c r="J15" s="919"/>
      <c r="K15" s="925"/>
      <c r="L15" s="915"/>
      <c r="M15" s="915"/>
      <c r="N15" s="826"/>
      <c r="O15" s="916"/>
      <c r="P15" s="922"/>
      <c r="Q15" s="923"/>
      <c r="R15" s="919"/>
      <c r="S15" s="918"/>
      <c r="T15" s="918"/>
      <c r="U15" s="918"/>
      <c r="V15" s="918"/>
      <c r="W15" s="918"/>
      <c r="X15" s="918"/>
      <c r="Y15" s="918"/>
      <c r="Z15" s="918"/>
      <c r="AA15" s="918"/>
      <c r="AB15" s="918"/>
      <c r="AC15" s="918"/>
      <c r="AD15" s="918"/>
      <c r="AE15" s="918"/>
    </row>
    <row r="16" spans="1:31" ht="12.75">
      <c r="A16" s="926"/>
      <c r="B16" s="918"/>
      <c r="C16" s="927" t="s">
        <v>17</v>
      </c>
      <c r="D16" s="927"/>
      <c r="E16" s="927" t="s">
        <v>17</v>
      </c>
      <c r="F16" s="927"/>
      <c r="G16" s="927" t="s">
        <v>17</v>
      </c>
      <c r="H16" s="927"/>
      <c r="I16" s="927" t="s">
        <v>18</v>
      </c>
      <c r="J16" s="918"/>
      <c r="K16" s="927" t="s">
        <v>18</v>
      </c>
      <c r="L16" s="927"/>
      <c r="M16" s="927" t="s">
        <v>18</v>
      </c>
      <c r="N16" s="918"/>
      <c r="O16" s="927" t="s">
        <v>19</v>
      </c>
      <c r="P16" s="927"/>
      <c r="Q16" s="927" t="s">
        <v>19</v>
      </c>
      <c r="R16" s="826"/>
      <c r="S16" s="927" t="s">
        <v>19</v>
      </c>
      <c r="T16" s="918"/>
      <c r="U16" s="927" t="s">
        <v>20</v>
      </c>
      <c r="V16" s="927" t="s">
        <v>20</v>
      </c>
      <c r="W16" s="927" t="s">
        <v>20</v>
      </c>
      <c r="X16" s="918"/>
      <c r="Y16" s="918"/>
      <c r="Z16" s="918"/>
      <c r="AA16" s="927" t="s">
        <v>21</v>
      </c>
      <c r="AB16" s="927" t="s">
        <v>21</v>
      </c>
      <c r="AC16" s="918"/>
      <c r="AD16" s="918"/>
      <c r="AE16" s="927" t="s">
        <v>21</v>
      </c>
    </row>
    <row r="17" spans="1:31" ht="12.75">
      <c r="A17" s="926"/>
      <c r="B17" s="918"/>
      <c r="C17" s="927" t="s">
        <v>438</v>
      </c>
      <c r="D17" s="927" t="s">
        <v>439</v>
      </c>
      <c r="E17" s="927" t="s">
        <v>438</v>
      </c>
      <c r="F17" s="927" t="s">
        <v>439</v>
      </c>
      <c r="G17" s="927"/>
      <c r="H17" s="927"/>
      <c r="I17" s="927" t="s">
        <v>438</v>
      </c>
      <c r="J17" s="927" t="s">
        <v>439</v>
      </c>
      <c r="K17" s="927" t="s">
        <v>438</v>
      </c>
      <c r="L17" s="918"/>
      <c r="M17" s="927"/>
      <c r="N17" s="918"/>
      <c r="O17" s="927" t="s">
        <v>438</v>
      </c>
      <c r="P17" s="927" t="s">
        <v>440</v>
      </c>
      <c r="Q17" s="927" t="s">
        <v>438</v>
      </c>
      <c r="R17" s="918"/>
      <c r="S17" s="927"/>
      <c r="T17" s="918"/>
      <c r="U17" s="927" t="s">
        <v>438</v>
      </c>
      <c r="V17" s="927" t="s">
        <v>440</v>
      </c>
      <c r="W17" s="927" t="s">
        <v>438</v>
      </c>
      <c r="X17" s="918"/>
      <c r="Y17" s="918"/>
      <c r="Z17" s="918"/>
      <c r="AA17" s="927" t="s">
        <v>438</v>
      </c>
      <c r="AB17" s="927" t="s">
        <v>440</v>
      </c>
      <c r="AC17" s="927" t="s">
        <v>438</v>
      </c>
      <c r="AD17" s="918"/>
      <c r="AE17" s="927"/>
    </row>
    <row r="18" spans="1:31" ht="12.75">
      <c r="A18" s="928" t="s">
        <v>441</v>
      </c>
      <c r="B18" s="918"/>
      <c r="C18" s="927" t="s">
        <v>442</v>
      </c>
      <c r="D18" s="927" t="s">
        <v>443</v>
      </c>
      <c r="E18" s="927" t="s">
        <v>444</v>
      </c>
      <c r="F18" s="927" t="s">
        <v>443</v>
      </c>
      <c r="G18" s="927" t="s">
        <v>22</v>
      </c>
      <c r="H18" s="927"/>
      <c r="I18" s="927" t="s">
        <v>442</v>
      </c>
      <c r="J18" s="927" t="s">
        <v>443</v>
      </c>
      <c r="K18" s="927" t="s">
        <v>444</v>
      </c>
      <c r="L18" s="927" t="s">
        <v>445</v>
      </c>
      <c r="M18" s="927" t="s">
        <v>22</v>
      </c>
      <c r="N18" s="918"/>
      <c r="O18" s="927" t="s">
        <v>442</v>
      </c>
      <c r="P18" s="927" t="s">
        <v>446</v>
      </c>
      <c r="Q18" s="927" t="s">
        <v>444</v>
      </c>
      <c r="R18" s="927" t="s">
        <v>445</v>
      </c>
      <c r="S18" s="927" t="s">
        <v>22</v>
      </c>
      <c r="T18" s="918"/>
      <c r="U18" s="927" t="s">
        <v>442</v>
      </c>
      <c r="V18" s="927" t="s">
        <v>446</v>
      </c>
      <c r="W18" s="927" t="s">
        <v>444</v>
      </c>
      <c r="X18" s="927" t="s">
        <v>445</v>
      </c>
      <c r="Y18" s="927" t="s">
        <v>22</v>
      </c>
      <c r="Z18" s="918"/>
      <c r="AA18" s="927" t="s">
        <v>442</v>
      </c>
      <c r="AB18" s="927" t="s">
        <v>446</v>
      </c>
      <c r="AC18" s="927" t="s">
        <v>444</v>
      </c>
      <c r="AD18" s="927" t="s">
        <v>445</v>
      </c>
      <c r="AE18" s="927" t="s">
        <v>22</v>
      </c>
    </row>
    <row r="19" spans="1:31" ht="12.75">
      <c r="A19" s="945" t="s">
        <v>6</v>
      </c>
      <c r="B19" s="929"/>
      <c r="C19" s="943"/>
      <c r="D19" s="943"/>
      <c r="E19" s="943"/>
      <c r="F19" s="943"/>
      <c r="G19" s="942">
        <f>((IF($C$3&gt;$R$51,IF($C$3&lt;$S$51,$R53,IF($C$3&lt;$T$51,$S53,IF($C$3&lt;$U$51,$T53,IF($C$3&lt;$V$51,$U53,IF($C$3&lt;$W$51,$V53,IF($C$3&lt;$X$51,$W53,0.9999))))))))*C19*D19*2)+((IF($C$3&gt;$R$51,IF($C$3&lt;$S$51,$R81,IF($C$3&lt;$T$51,$S81,IF($C$3&lt;$U$51,$T81,IF($C$3&lt;$V$51,$U81,IF($C$3&lt;$W$51,$V81,IF($C$3&lt;$X$51,$W81,0.9999)))))))*E19*F19*2))</f>
        <v>0</v>
      </c>
      <c r="H19" s="927"/>
      <c r="I19" s="943"/>
      <c r="J19" s="943"/>
      <c r="K19" s="943"/>
      <c r="L19" s="943"/>
      <c r="M19" s="942">
        <f>((IF($C$3&gt;$R$51,IF($C$3&lt;$S$51,$S53,IF($C$3&lt;$T$51,$T53,IF($C$3&lt;$U$51,$U53,IF($C$3&lt;$V$51,$V53,IF($C$3&lt;$W$51,W53,IF($C$3&lt;$X$51,($W53*1.04),0.9999))))))))*I19*J19*2)+((IF($C$3&gt;$R$51,IF($C$3&lt;$S$51,$S81,IF($C$3&lt;$T$51,$T81,IF($C$3&lt;$U$51,$U81,IF($C$3&lt;$V$51,$V81,IF($C$3&lt;$W$51,$W81,IF($C$3&lt;$X$51,($W81*1.04),0.9999)))))))*K19*L19*2))</f>
        <v>0</v>
      </c>
      <c r="N19" s="919"/>
      <c r="O19" s="943"/>
      <c r="P19" s="943"/>
      <c r="Q19" s="943"/>
      <c r="R19" s="943"/>
      <c r="S19" s="942">
        <f>((IF($C$3&gt;$R$51,IF($C$3&lt;$S$51,$T53,IF($C$3&lt;$T$51,$U53,IF($C$3&lt;$U$51,$V53,IF($C$3&lt;$V$51,$W53,IF($C$3&lt;$W$51,($W53*1.04),IF($C$3&lt;$X$51,($W53*1.04*1.04),0.9999))))))))*O19*P19*2)+((IF($C$3&gt;$R$51,IF($C$3&lt;$S$51,$T81,IF($C$3&lt;$T$51,$U81,IF($C$3&lt;$U$51,$V81,IF($C$3&lt;$V$51,$W81,IF($C$3&lt;$W$51,($W81*1.04),IF($C$3&lt;$X$51,($W81*1.04*1.04),0.9999)))))))*Q19*R19*2))</f>
        <v>0</v>
      </c>
      <c r="T19" s="918"/>
      <c r="U19" s="943"/>
      <c r="V19" s="943"/>
      <c r="W19" s="943"/>
      <c r="X19" s="943"/>
      <c r="Y19" s="942">
        <f>((IF($C$3&gt;$R$51,IF($C$3&lt;$S$51,$U53,IF($C$3&lt;$T$51,$V53,IF($C$3&lt;$U$51,$W53,IF($C$3&lt;$V$51,($W53*1.04),IF($C$3&lt;$W$51,($W53*1.04*1.04),IF($C$3&lt;$X$51,($W53*1.04*1.04*1.04),0.9999))))))))*U19*V19*2)+((IF($C$3&gt;$R$51,IF($C$3&lt;$S$51,$U81,IF($C$3&lt;$T$51,$V81,IF($C$3&lt;$U$51,$W81,IF($C$3&lt;$V$51,($W81*1.04),IF($C$3&lt;$W$51,($W81*1.04*1.04),IF($C$3&lt;$X$51,($W81*1.04*1.04*1.04),0.9999)))))))*W19*X19*2))</f>
        <v>0</v>
      </c>
      <c r="Z19" s="918"/>
      <c r="AA19" s="943"/>
      <c r="AB19" s="943"/>
      <c r="AC19" s="943"/>
      <c r="AD19" s="943"/>
      <c r="AE19" s="942">
        <f>((IF($C$3&gt;$R$51,IF($C$3&lt;$S$51,$V53,IF($C$3&lt;$T$51,$W53,IF($C$3&lt;$U$51,($W53*1.04),IF($C$3&lt;$V$51,($W53*1.04*1.04),IF($C$3&lt;$W$51,($W53*1.04*1.04*1.04),IF($C$3&lt;$X$51,($W53*1.04*1.04*1.04*1.04),0.9999))))))))*AA19*AB19*2)+((IF($C$3&gt;$R$51,IF($C$3&lt;$S$51,$V81,IF($C$3&lt;$T$51,$W81,IF($C$3&lt;$U$51,($W81*1.04),IF($C$3&lt;$V$51,($W81*1.04*1.04),IF($C$3&lt;$W$51,($W81*1.04*1.04*1.04),IF($C$3&lt;$X$51,($W81*1.04*1.04*1.04*1.04),0.9999)))))))*AC19*AD19*2))</f>
        <v>0</v>
      </c>
    </row>
    <row r="20" spans="1:31" ht="12.75">
      <c r="A20" s="945" t="s">
        <v>8</v>
      </c>
      <c r="B20" s="929"/>
      <c r="C20" s="943"/>
      <c r="D20" s="943"/>
      <c r="E20" s="943"/>
      <c r="F20" s="943"/>
      <c r="G20" s="942">
        <f aca="true" t="shared" si="0" ref="G20:G29">((IF($C$3&gt;$R$51,IF($C$3&lt;$S$51,$R54,IF($C$3&lt;$T$51,$S54,IF($C$3&lt;$U$51,$T54,IF($C$3&lt;$V$51,$U54,IF($C$3&lt;$W$51,$V54,IF($C$3&lt;$X$51,$W54,0.9999))))))))*C20*D20*2)+((IF($C$3&gt;$R$51,IF($C$3&lt;$S$51,$R82,IF($C$3&lt;$T$51,$S82,IF($C$3&lt;$U$51,$T82,IF($C$3&lt;$V$51,$U82,IF($C$3&lt;$W$51,$V82,IF($C$3&lt;$X$51,$W82,0.9999)))))))*E20*F20*2))</f>
        <v>0</v>
      </c>
      <c r="H20" s="927"/>
      <c r="I20" s="943"/>
      <c r="J20" s="943"/>
      <c r="K20" s="943"/>
      <c r="L20" s="943"/>
      <c r="M20" s="942">
        <f aca="true" t="shared" si="1" ref="M20:M29">((IF($C$3&gt;$R$51,IF($C$3&lt;$S$51,$S54,IF($C$3&lt;$T$51,$T54,IF($C$3&lt;$U$51,$U54,IF($C$3&lt;$V$51,$V54,IF($C$3&lt;$W$51,W54,IF($C$3&lt;$X$51,($W54*1.04),0.9999))))))))*I20*J20*2)+((IF($C$3&gt;$R$51,IF($C$3&lt;$S$51,$S82,IF($C$3&lt;$T$51,$T82,IF($C$3&lt;$U$51,$U82,IF($C$3&lt;$V$51,$V82,IF($C$3&lt;$W$51,$W82,IF($C$3&lt;$X$51,($W82*1.04),0.9999)))))))*K20*L20*2))</f>
        <v>0</v>
      </c>
      <c r="N20" s="919"/>
      <c r="O20" s="943"/>
      <c r="P20" s="943"/>
      <c r="Q20" s="943"/>
      <c r="R20" s="943"/>
      <c r="S20" s="942">
        <f aca="true" t="shared" si="2" ref="S20:S29">((IF($C$3&gt;$R$51,IF($C$3&lt;$S$51,$T54,IF($C$3&lt;$T$51,$U54,IF($C$3&lt;$U$51,$V54,IF($C$3&lt;$V$51,$W54,IF($C$3&lt;$W$51,($W54*1.04),IF($C$3&lt;$X$51,($W54*1.04*1.04),0.9999))))))))*O20*P20*2)+((IF($C$3&gt;$R$51,IF($C$3&lt;$S$51,$T82,IF($C$3&lt;$T$51,$U82,IF($C$3&lt;$U$51,$V82,IF($C$3&lt;$V$51,$W82,IF($C$3&lt;$W$51,($W82*1.04),IF($C$3&lt;$X$51,($W82*1.04*1.04),0.9999)))))))*Q20*R20*2))</f>
        <v>0</v>
      </c>
      <c r="T20" s="918"/>
      <c r="U20" s="943"/>
      <c r="V20" s="943"/>
      <c r="W20" s="943"/>
      <c r="X20" s="943"/>
      <c r="Y20" s="942">
        <f aca="true" t="shared" si="3" ref="Y20:Y29">((IF($C$3&gt;$R$51,IF($C$3&lt;$S$51,$U54,IF($C$3&lt;$T$51,$V54,IF($C$3&lt;$U$51,$W54,IF($C$3&lt;$V$51,($W54*1.04),IF($C$3&lt;$W$51,($W54*1.04*1.04),IF($C$3&lt;$X$51,($W54*1.04*1.04*1.04),0.9999))))))))*U20*V20*2)+((IF($C$3&gt;$R$51,IF($C$3&lt;$S$51,$U82,IF($C$3&lt;$T$51,$V82,IF($C$3&lt;$U$51,$W82,IF($C$3&lt;$V$51,($W82*1.04),IF($C$3&lt;$W$51,($W82*1.04*1.04),IF($C$3&lt;$X$51,($W82*1.04*1.04*1.04),0.9999)))))))*W20*X20*2))</f>
        <v>0</v>
      </c>
      <c r="Z20" s="918"/>
      <c r="AA20" s="943"/>
      <c r="AB20" s="943"/>
      <c r="AC20" s="943"/>
      <c r="AD20" s="943"/>
      <c r="AE20" s="942">
        <f aca="true" t="shared" si="4" ref="AE20:AE29">((IF($C$3&gt;$R$51,IF($C$3&lt;$S$51,$V54,IF($C$3&lt;$T$51,$W54,IF($C$3&lt;$U$51,($W54*1.04),IF($C$3&lt;$V$51,($W54*1.04*1.04),IF($C$3&lt;$W$51,($W54*1.04*1.04*1.04),IF($C$3&lt;$X$51,($W54*1.04*1.04*1.04*1.04),0.9999))))))))*AA20*AB20*2)+((IF($C$3&gt;$R$51,IF($C$3&lt;$S$51,$V82,IF($C$3&lt;$T$51,$W82,IF($C$3&lt;$U$51,($W82*1.04),IF($C$3&lt;$V$51,($W82*1.04*1.04),IF($C$3&lt;$W$51,($W82*1.04*1.04*1.04),IF($C$3&lt;$X$51,($W82*1.04*1.04*1.04*1.04),0.9999)))))))*AC20*AD20*2))</f>
        <v>0</v>
      </c>
    </row>
    <row r="21" spans="1:31" ht="12.75">
      <c r="A21" s="945" t="s">
        <v>422</v>
      </c>
      <c r="B21" s="929"/>
      <c r="C21" s="943"/>
      <c r="D21" s="943"/>
      <c r="E21" s="943"/>
      <c r="F21" s="943"/>
      <c r="G21" s="942">
        <f t="shared" si="0"/>
        <v>0</v>
      </c>
      <c r="H21" s="927"/>
      <c r="I21" s="943"/>
      <c r="J21" s="943"/>
      <c r="K21" s="943"/>
      <c r="L21" s="943"/>
      <c r="M21" s="942">
        <f t="shared" si="1"/>
        <v>0</v>
      </c>
      <c r="N21" s="919"/>
      <c r="O21" s="943"/>
      <c r="P21" s="943"/>
      <c r="Q21" s="943"/>
      <c r="R21" s="943"/>
      <c r="S21" s="942">
        <f t="shared" si="2"/>
        <v>0</v>
      </c>
      <c r="T21" s="918"/>
      <c r="U21" s="943"/>
      <c r="V21" s="943"/>
      <c r="W21" s="943"/>
      <c r="X21" s="943"/>
      <c r="Y21" s="942">
        <f t="shared" si="3"/>
        <v>0</v>
      </c>
      <c r="Z21" s="918"/>
      <c r="AA21" s="943"/>
      <c r="AB21" s="943"/>
      <c r="AC21" s="943"/>
      <c r="AD21" s="943"/>
      <c r="AE21" s="942">
        <f t="shared" si="4"/>
        <v>0</v>
      </c>
    </row>
    <row r="22" spans="1:31" ht="12.75">
      <c r="A22" s="945" t="s">
        <v>9</v>
      </c>
      <c r="B22" s="929"/>
      <c r="C22" s="943"/>
      <c r="D22" s="943"/>
      <c r="E22" s="943"/>
      <c r="F22" s="943"/>
      <c r="G22" s="942">
        <f t="shared" si="0"/>
        <v>0</v>
      </c>
      <c r="H22" s="927"/>
      <c r="I22" s="943"/>
      <c r="J22" s="943"/>
      <c r="K22" s="943"/>
      <c r="L22" s="943"/>
      <c r="M22" s="942">
        <f t="shared" si="1"/>
        <v>0</v>
      </c>
      <c r="N22" s="919"/>
      <c r="O22" s="943"/>
      <c r="P22" s="943"/>
      <c r="Q22" s="943"/>
      <c r="R22" s="943"/>
      <c r="S22" s="942">
        <f t="shared" si="2"/>
        <v>0</v>
      </c>
      <c r="T22" s="918"/>
      <c r="U22" s="943"/>
      <c r="V22" s="943"/>
      <c r="W22" s="943"/>
      <c r="X22" s="943"/>
      <c r="Y22" s="942">
        <f t="shared" si="3"/>
        <v>0</v>
      </c>
      <c r="Z22" s="918"/>
      <c r="AA22" s="943"/>
      <c r="AB22" s="943"/>
      <c r="AC22" s="943"/>
      <c r="AD22" s="943"/>
      <c r="AE22" s="942">
        <f t="shared" si="4"/>
        <v>0</v>
      </c>
    </row>
    <row r="23" spans="1:31" ht="12.75">
      <c r="A23" s="945" t="s">
        <v>423</v>
      </c>
      <c r="B23" s="929"/>
      <c r="C23" s="943"/>
      <c r="D23" s="943"/>
      <c r="E23" s="943"/>
      <c r="F23" s="943"/>
      <c r="G23" s="942">
        <f t="shared" si="0"/>
        <v>0</v>
      </c>
      <c r="H23" s="927"/>
      <c r="I23" s="943"/>
      <c r="J23" s="943"/>
      <c r="K23" s="943"/>
      <c r="L23" s="943"/>
      <c r="M23" s="942">
        <f t="shared" si="1"/>
        <v>0</v>
      </c>
      <c r="N23" s="919"/>
      <c r="O23" s="943"/>
      <c r="P23" s="943"/>
      <c r="Q23" s="943"/>
      <c r="R23" s="943"/>
      <c r="S23" s="942">
        <f t="shared" si="2"/>
        <v>0</v>
      </c>
      <c r="T23" s="918"/>
      <c r="U23" s="943"/>
      <c r="V23" s="943"/>
      <c r="W23" s="943"/>
      <c r="X23" s="943"/>
      <c r="Y23" s="942">
        <f t="shared" si="3"/>
        <v>0</v>
      </c>
      <c r="Z23" s="918"/>
      <c r="AA23" s="943"/>
      <c r="AB23" s="943"/>
      <c r="AC23" s="943"/>
      <c r="AD23" s="943"/>
      <c r="AE23" s="942">
        <f t="shared" si="4"/>
        <v>0</v>
      </c>
    </row>
    <row r="24" spans="1:31" ht="12.75">
      <c r="A24" s="946" t="s">
        <v>255</v>
      </c>
      <c r="B24" s="929"/>
      <c r="C24" s="943"/>
      <c r="D24" s="943"/>
      <c r="E24" s="943"/>
      <c r="F24" s="943"/>
      <c r="G24" s="942">
        <f t="shared" si="0"/>
        <v>0</v>
      </c>
      <c r="H24" s="927"/>
      <c r="I24" s="943"/>
      <c r="J24" s="943"/>
      <c r="K24" s="943"/>
      <c r="L24" s="943"/>
      <c r="M24" s="942">
        <f t="shared" si="1"/>
        <v>0</v>
      </c>
      <c r="N24" s="919"/>
      <c r="O24" s="943"/>
      <c r="P24" s="943"/>
      <c r="Q24" s="943"/>
      <c r="R24" s="943"/>
      <c r="S24" s="942">
        <f t="shared" si="2"/>
        <v>0</v>
      </c>
      <c r="T24" s="918"/>
      <c r="U24" s="943"/>
      <c r="V24" s="943"/>
      <c r="W24" s="943"/>
      <c r="X24" s="943"/>
      <c r="Y24" s="942">
        <f t="shared" si="3"/>
        <v>0</v>
      </c>
      <c r="Z24" s="918"/>
      <c r="AA24" s="943"/>
      <c r="AB24" s="943"/>
      <c r="AC24" s="943"/>
      <c r="AD24" s="943"/>
      <c r="AE24" s="942">
        <f t="shared" si="4"/>
        <v>0</v>
      </c>
    </row>
    <row r="25" spans="1:31" ht="12.75">
      <c r="A25" s="945" t="s">
        <v>424</v>
      </c>
      <c r="B25" s="929"/>
      <c r="C25" s="943"/>
      <c r="D25" s="943"/>
      <c r="E25" s="943"/>
      <c r="F25" s="943"/>
      <c r="G25" s="942">
        <f t="shared" si="0"/>
        <v>0</v>
      </c>
      <c r="H25" s="927"/>
      <c r="I25" s="943"/>
      <c r="J25" s="943"/>
      <c r="K25" s="943"/>
      <c r="L25" s="943"/>
      <c r="M25" s="942">
        <f t="shared" si="1"/>
        <v>0</v>
      </c>
      <c r="N25" s="919"/>
      <c r="O25" s="943"/>
      <c r="P25" s="943"/>
      <c r="Q25" s="943"/>
      <c r="R25" s="943"/>
      <c r="S25" s="942">
        <f t="shared" si="2"/>
        <v>0</v>
      </c>
      <c r="T25" s="918"/>
      <c r="U25" s="943"/>
      <c r="V25" s="943"/>
      <c r="W25" s="943"/>
      <c r="X25" s="943"/>
      <c r="Y25" s="942">
        <f t="shared" si="3"/>
        <v>0</v>
      </c>
      <c r="Z25" s="918"/>
      <c r="AA25" s="943"/>
      <c r="AB25" s="943"/>
      <c r="AC25" s="943"/>
      <c r="AD25" s="943"/>
      <c r="AE25" s="942">
        <f t="shared" si="4"/>
        <v>0</v>
      </c>
    </row>
    <row r="26" spans="1:31" ht="12.75">
      <c r="A26" s="945" t="s">
        <v>425</v>
      </c>
      <c r="B26" s="929"/>
      <c r="C26" s="943"/>
      <c r="D26" s="943"/>
      <c r="E26" s="943"/>
      <c r="F26" s="943"/>
      <c r="G26" s="942">
        <f t="shared" si="0"/>
        <v>0</v>
      </c>
      <c r="H26" s="927"/>
      <c r="I26" s="943"/>
      <c r="J26" s="943"/>
      <c r="K26" s="943"/>
      <c r="L26" s="943"/>
      <c r="M26" s="942">
        <f t="shared" si="1"/>
        <v>0</v>
      </c>
      <c r="N26" s="919"/>
      <c r="O26" s="943"/>
      <c r="P26" s="943"/>
      <c r="Q26" s="943"/>
      <c r="R26" s="943"/>
      <c r="S26" s="942">
        <f t="shared" si="2"/>
        <v>0</v>
      </c>
      <c r="T26" s="918"/>
      <c r="U26" s="943"/>
      <c r="V26" s="943"/>
      <c r="W26" s="943"/>
      <c r="X26" s="943"/>
      <c r="Y26" s="942">
        <f t="shared" si="3"/>
        <v>0</v>
      </c>
      <c r="Z26" s="918"/>
      <c r="AA26" s="943"/>
      <c r="AB26" s="943"/>
      <c r="AC26" s="943"/>
      <c r="AD26" s="943"/>
      <c r="AE26" s="942">
        <f t="shared" si="4"/>
        <v>0</v>
      </c>
    </row>
    <row r="27" spans="1:31" ht="12.75">
      <c r="A27" s="945" t="s">
        <v>13</v>
      </c>
      <c r="B27" s="929"/>
      <c r="C27" s="943"/>
      <c r="D27" s="943"/>
      <c r="E27" s="943"/>
      <c r="F27" s="943"/>
      <c r="G27" s="942">
        <f t="shared" si="0"/>
        <v>0</v>
      </c>
      <c r="H27" s="927"/>
      <c r="I27" s="943"/>
      <c r="J27" s="943"/>
      <c r="K27" s="943"/>
      <c r="L27" s="943"/>
      <c r="M27" s="942">
        <f t="shared" si="1"/>
        <v>0</v>
      </c>
      <c r="N27" s="919"/>
      <c r="O27" s="943"/>
      <c r="P27" s="943"/>
      <c r="Q27" s="943"/>
      <c r="R27" s="943"/>
      <c r="S27" s="942">
        <f t="shared" si="2"/>
        <v>0</v>
      </c>
      <c r="T27" s="918"/>
      <c r="U27" s="943"/>
      <c r="V27" s="943"/>
      <c r="W27" s="943"/>
      <c r="X27" s="943"/>
      <c r="Y27" s="942">
        <f t="shared" si="3"/>
        <v>0</v>
      </c>
      <c r="Z27" s="918"/>
      <c r="AA27" s="943"/>
      <c r="AB27" s="943"/>
      <c r="AC27" s="943"/>
      <c r="AD27" s="943"/>
      <c r="AE27" s="942">
        <f t="shared" si="4"/>
        <v>0</v>
      </c>
    </row>
    <row r="28" spans="1:31" ht="12.75">
      <c r="A28" s="945" t="s">
        <v>16</v>
      </c>
      <c r="B28" s="929"/>
      <c r="C28" s="943"/>
      <c r="D28" s="943"/>
      <c r="E28" s="943"/>
      <c r="F28" s="943"/>
      <c r="G28" s="942">
        <f t="shared" si="0"/>
        <v>0</v>
      </c>
      <c r="H28" s="927"/>
      <c r="I28" s="943"/>
      <c r="J28" s="943"/>
      <c r="K28" s="943"/>
      <c r="L28" s="943"/>
      <c r="M28" s="942">
        <f t="shared" si="1"/>
        <v>0</v>
      </c>
      <c r="N28" s="919"/>
      <c r="O28" s="943"/>
      <c r="P28" s="943"/>
      <c r="Q28" s="943"/>
      <c r="R28" s="943"/>
      <c r="S28" s="942">
        <f t="shared" si="2"/>
        <v>0</v>
      </c>
      <c r="T28" s="918"/>
      <c r="U28" s="943"/>
      <c r="V28" s="943"/>
      <c r="W28" s="943"/>
      <c r="X28" s="943"/>
      <c r="Y28" s="942">
        <f t="shared" si="3"/>
        <v>0</v>
      </c>
      <c r="Z28" s="918"/>
      <c r="AA28" s="943"/>
      <c r="AB28" s="943"/>
      <c r="AC28" s="943"/>
      <c r="AD28" s="943"/>
      <c r="AE28" s="942">
        <f t="shared" si="4"/>
        <v>0</v>
      </c>
    </row>
    <row r="29" spans="1:31" ht="12.75">
      <c r="A29" s="945" t="s">
        <v>14</v>
      </c>
      <c r="B29" s="930"/>
      <c r="C29" s="943"/>
      <c r="D29" s="943"/>
      <c r="E29" s="943"/>
      <c r="F29" s="943"/>
      <c r="G29" s="942">
        <f t="shared" si="0"/>
        <v>0</v>
      </c>
      <c r="H29" s="927"/>
      <c r="I29" s="943"/>
      <c r="J29" s="943"/>
      <c r="K29" s="943"/>
      <c r="L29" s="943"/>
      <c r="M29" s="942">
        <f t="shared" si="1"/>
        <v>0</v>
      </c>
      <c r="N29" s="919"/>
      <c r="O29" s="943"/>
      <c r="P29" s="943"/>
      <c r="Q29" s="943"/>
      <c r="R29" s="943"/>
      <c r="S29" s="942">
        <f t="shared" si="2"/>
        <v>0</v>
      </c>
      <c r="T29" s="918"/>
      <c r="U29" s="943"/>
      <c r="V29" s="943"/>
      <c r="W29" s="943"/>
      <c r="X29" s="943"/>
      <c r="Y29" s="942">
        <f t="shared" si="3"/>
        <v>0</v>
      </c>
      <c r="Z29" s="918"/>
      <c r="AA29" s="943"/>
      <c r="AB29" s="943"/>
      <c r="AC29" s="943"/>
      <c r="AD29" s="943"/>
      <c r="AE29" s="942">
        <f t="shared" si="4"/>
        <v>0</v>
      </c>
    </row>
    <row r="30" spans="1:31" ht="12.75">
      <c r="A30" s="931" t="s">
        <v>68</v>
      </c>
      <c r="B30" s="932"/>
      <c r="C30" s="932"/>
      <c r="D30" s="927"/>
      <c r="E30" s="918"/>
      <c r="F30" s="927"/>
      <c r="G30" s="927">
        <f>SUM(G19:G29)</f>
        <v>0</v>
      </c>
      <c r="H30" s="927"/>
      <c r="I30" s="927"/>
      <c r="J30" s="919"/>
      <c r="K30" s="933"/>
      <c r="L30" s="915"/>
      <c r="M30" s="927">
        <f>SUM(M19:M29)</f>
        <v>0</v>
      </c>
      <c r="N30" s="927"/>
      <c r="O30" s="927"/>
      <c r="P30" s="927"/>
      <c r="Q30" s="927"/>
      <c r="R30" s="927"/>
      <c r="S30" s="927">
        <f>SUM(S19:S29)</f>
        <v>0</v>
      </c>
      <c r="T30" s="927"/>
      <c r="U30" s="927"/>
      <c r="V30" s="927"/>
      <c r="W30" s="918"/>
      <c r="X30" s="918"/>
      <c r="Y30" s="927">
        <f>SUM(Y19:Y29)</f>
        <v>0</v>
      </c>
      <c r="Z30" s="918"/>
      <c r="AA30" s="918"/>
      <c r="AB30" s="918"/>
      <c r="AC30" s="918"/>
      <c r="AD30" s="918"/>
      <c r="AE30" s="927">
        <f>SUM(AE19:AE29)</f>
        <v>0</v>
      </c>
    </row>
    <row r="31" spans="1:31" ht="12.75">
      <c r="A31" s="934"/>
      <c r="B31" s="934"/>
      <c r="C31" s="934"/>
      <c r="D31" s="927"/>
      <c r="E31" s="927"/>
      <c r="F31" s="927"/>
      <c r="G31" s="927"/>
      <c r="H31" s="927"/>
      <c r="I31" s="918"/>
      <c r="J31" s="919"/>
      <c r="K31" s="933"/>
      <c r="L31" s="915"/>
      <c r="M31" s="915"/>
      <c r="N31" s="826"/>
      <c r="O31" s="914"/>
      <c r="P31" s="922"/>
      <c r="Q31" s="923"/>
      <c r="R31" s="923"/>
      <c r="S31" s="923"/>
      <c r="T31" s="923"/>
      <c r="U31" s="919"/>
      <c r="V31" s="918"/>
      <c r="W31" s="918"/>
      <c r="X31" s="918"/>
      <c r="Y31" s="918"/>
      <c r="Z31" s="918"/>
      <c r="AA31" s="918"/>
      <c r="AB31" s="918"/>
      <c r="AC31" s="918"/>
      <c r="AD31" s="918"/>
      <c r="AE31" s="918"/>
    </row>
    <row r="32" spans="1:31" ht="12.75">
      <c r="A32" s="934"/>
      <c r="B32" s="934"/>
      <c r="C32" s="934"/>
      <c r="D32" s="927"/>
      <c r="E32" s="927"/>
      <c r="F32" s="927"/>
      <c r="G32" s="927"/>
      <c r="H32" s="927"/>
      <c r="I32" s="918"/>
      <c r="J32" s="919"/>
      <c r="K32" s="933"/>
      <c r="L32" s="915"/>
      <c r="M32" s="915"/>
      <c r="N32" s="826"/>
      <c r="O32" s="914"/>
      <c r="P32" s="922"/>
      <c r="Q32" s="923"/>
      <c r="R32" s="923"/>
      <c r="S32" s="923"/>
      <c r="T32" s="923"/>
      <c r="U32" s="919"/>
      <c r="V32" s="918"/>
      <c r="W32" s="918"/>
      <c r="X32" s="918"/>
      <c r="Y32" s="918"/>
      <c r="Z32" s="918"/>
      <c r="AA32" s="918"/>
      <c r="AB32" s="918"/>
      <c r="AC32" s="918"/>
      <c r="AD32" s="918"/>
      <c r="AE32" s="918"/>
    </row>
    <row r="33" spans="1:31" ht="12.75">
      <c r="A33" s="918"/>
      <c r="B33" s="918"/>
      <c r="C33" s="927" t="s">
        <v>17</v>
      </c>
      <c r="D33" s="918"/>
      <c r="E33" s="927" t="s">
        <v>17</v>
      </c>
      <c r="F33" s="927"/>
      <c r="G33" s="927" t="s">
        <v>17</v>
      </c>
      <c r="H33" s="918"/>
      <c r="I33" s="927" t="s">
        <v>18</v>
      </c>
      <c r="J33" s="919"/>
      <c r="K33" s="927" t="s">
        <v>18</v>
      </c>
      <c r="L33" s="918"/>
      <c r="M33" s="927" t="s">
        <v>18</v>
      </c>
      <c r="N33" s="826"/>
      <c r="O33" s="927" t="s">
        <v>19</v>
      </c>
      <c r="P33" s="927"/>
      <c r="Q33" s="927" t="s">
        <v>19</v>
      </c>
      <c r="R33" s="918"/>
      <c r="S33" s="927" t="s">
        <v>19</v>
      </c>
      <c r="T33" s="927"/>
      <c r="U33" s="927" t="s">
        <v>20</v>
      </c>
      <c r="V33" s="918"/>
      <c r="W33" s="927" t="s">
        <v>20</v>
      </c>
      <c r="X33" s="918"/>
      <c r="Y33" s="918"/>
      <c r="Z33" s="918"/>
      <c r="AA33" s="927" t="s">
        <v>21</v>
      </c>
      <c r="AB33" s="927" t="s">
        <v>21</v>
      </c>
      <c r="AC33" s="927" t="s">
        <v>21</v>
      </c>
      <c r="AD33" s="918"/>
      <c r="AE33" s="918"/>
    </row>
    <row r="34" spans="1:31" ht="12.75">
      <c r="A34" s="918"/>
      <c r="B34" s="918"/>
      <c r="C34" s="927" t="s">
        <v>438</v>
      </c>
      <c r="D34" s="927" t="s">
        <v>440</v>
      </c>
      <c r="E34" s="927" t="s">
        <v>438</v>
      </c>
      <c r="F34" s="927"/>
      <c r="G34" s="927"/>
      <c r="H34" s="918"/>
      <c r="I34" s="927" t="s">
        <v>438</v>
      </c>
      <c r="J34" s="927" t="s">
        <v>440</v>
      </c>
      <c r="K34" s="927" t="s">
        <v>438</v>
      </c>
      <c r="L34" s="918"/>
      <c r="M34" s="927"/>
      <c r="N34" s="826"/>
      <c r="O34" s="927" t="s">
        <v>438</v>
      </c>
      <c r="P34" s="927" t="s">
        <v>440</v>
      </c>
      <c r="Q34" s="927" t="s">
        <v>438</v>
      </c>
      <c r="R34" s="918"/>
      <c r="S34" s="927"/>
      <c r="T34" s="927"/>
      <c r="U34" s="927" t="s">
        <v>438</v>
      </c>
      <c r="V34" s="927" t="s">
        <v>440</v>
      </c>
      <c r="W34" s="927" t="s">
        <v>438</v>
      </c>
      <c r="X34" s="918"/>
      <c r="Y34" s="927" t="s">
        <v>20</v>
      </c>
      <c r="Z34" s="918"/>
      <c r="AA34" s="927" t="s">
        <v>438</v>
      </c>
      <c r="AB34" s="927" t="s">
        <v>440</v>
      </c>
      <c r="AC34" s="927" t="s">
        <v>438</v>
      </c>
      <c r="AD34" s="918"/>
      <c r="AE34" s="918"/>
    </row>
    <row r="35" spans="1:31" ht="12.75">
      <c r="A35" s="935" t="s">
        <v>426</v>
      </c>
      <c r="B35" s="918"/>
      <c r="C35" s="927" t="s">
        <v>442</v>
      </c>
      <c r="D35" s="927" t="s">
        <v>446</v>
      </c>
      <c r="E35" s="927" t="s">
        <v>444</v>
      </c>
      <c r="F35" s="927" t="s">
        <v>445</v>
      </c>
      <c r="G35" s="927" t="s">
        <v>22</v>
      </c>
      <c r="H35" s="918"/>
      <c r="I35" s="927" t="s">
        <v>442</v>
      </c>
      <c r="J35" s="927" t="s">
        <v>446</v>
      </c>
      <c r="K35" s="927" t="s">
        <v>444</v>
      </c>
      <c r="L35" s="927" t="s">
        <v>445</v>
      </c>
      <c r="M35" s="927" t="s">
        <v>22</v>
      </c>
      <c r="N35" s="826"/>
      <c r="O35" s="927" t="s">
        <v>442</v>
      </c>
      <c r="P35" s="927" t="s">
        <v>446</v>
      </c>
      <c r="Q35" s="927" t="s">
        <v>444</v>
      </c>
      <c r="R35" s="927" t="s">
        <v>445</v>
      </c>
      <c r="S35" s="927" t="s">
        <v>22</v>
      </c>
      <c r="T35" s="927"/>
      <c r="U35" s="927" t="s">
        <v>442</v>
      </c>
      <c r="V35" s="927" t="s">
        <v>446</v>
      </c>
      <c r="W35" s="927" t="s">
        <v>444</v>
      </c>
      <c r="X35" s="927" t="s">
        <v>445</v>
      </c>
      <c r="Y35" s="927" t="s">
        <v>22</v>
      </c>
      <c r="Z35" s="918"/>
      <c r="AA35" s="927" t="s">
        <v>442</v>
      </c>
      <c r="AB35" s="927" t="s">
        <v>446</v>
      </c>
      <c r="AC35" s="927" t="s">
        <v>444</v>
      </c>
      <c r="AD35" s="927" t="s">
        <v>445</v>
      </c>
      <c r="AE35" s="927" t="s">
        <v>22</v>
      </c>
    </row>
    <row r="36" spans="1:31" ht="12.75">
      <c r="A36" s="945" t="s">
        <v>427</v>
      </c>
      <c r="B36" s="929"/>
      <c r="C36" s="943"/>
      <c r="D36" s="943"/>
      <c r="E36" s="943"/>
      <c r="F36" s="943"/>
      <c r="G36" s="942">
        <f>((IF($C$3&gt;$R$51,IF($C$3&lt;$S$51,$R66,IF($C$3&lt;$T$51,$S66,IF($C$3&lt;$U$51,$T66,IF($C$3&lt;$V$51,$U66,IF($C$3&lt;$W$51,$V66,IF($C$3&lt;$X$51,($W66),0.9999))))))))*C36*D36*2)+((IF($C$3&gt;$R$51,IF($C$3&lt;$S$51,$R94,IF($C$3&lt;$T$51,$S94,IF($C$3&lt;$U$51,$T94,IF($C$3&lt;$V$51,$U94,IF($C$3&lt;$W$51,$V94,IF($C$3&lt;$X$51,($W94),0.9999)))))))*E36*F36*2))</f>
        <v>0</v>
      </c>
      <c r="H36" s="918"/>
      <c r="I36" s="943"/>
      <c r="J36" s="943"/>
      <c r="K36" s="943"/>
      <c r="L36" s="943"/>
      <c r="M36" s="942">
        <f>((IF($C$3&gt;$R$51,IF($C$3&lt;$S$51,$S66,IF($C$3&lt;$T$51,$T66,IF($C$3&lt;$U$51,$U66,IF($C$3&lt;$V$51,$V66,IF($C$3&lt;$W$51,($W66),IF($C$3&lt;$X$51,($W66*1.04),0.9999))))))))*I36*J36*2)+((IF($C$3&gt;$R$51,IF($C$3&lt;$S$51,$S94,IF($C$3&lt;$T$51,$T94,IF($C$3&lt;$U$51,$U94,IF($C$3&lt;$V$51,$V94,IF($C$3&lt;$W$51,($W94),IF($C$3&lt;$X$51,($W94*1.04),0.9999)))))))*K36*L36*2))</f>
        <v>0</v>
      </c>
      <c r="N36" s="826"/>
      <c r="O36" s="943"/>
      <c r="P36" s="943"/>
      <c r="Q36" s="943"/>
      <c r="R36" s="943"/>
      <c r="S36" s="942">
        <f>((IF($C$3&gt;$R$51,IF($C$3&lt;$S$51,$T66,IF($C$3&lt;$T$51,$U66,IF($C$3&lt;$U$51,$V66,IF($C$3&lt;$V$51,($W66),IF($C$3&lt;$W$51,($W66*1.04),IF($C$3&lt;$X$51,($W66*1.04*1.04),0.9999))))))))*O36*P36*2)+((IF($C$3&gt;$R$51,IF($C$3&lt;$S$51,$T94,IF($C$3&lt;$T$51,$U94,IF($C$3&lt;$U$51,$V94,IF($C$3&lt;$V$51,($W94),IF($C$3&lt;$W$51,($W94*1.04),IF($C$3&lt;$X$51,($W94*1.04*1.04),0.9999)))))))*Q36*R36*2))</f>
        <v>0</v>
      </c>
      <c r="T36" s="927"/>
      <c r="U36" s="943"/>
      <c r="V36" s="943"/>
      <c r="W36" s="943"/>
      <c r="X36" s="943"/>
      <c r="Y36" s="942">
        <f>((IF($C$3&gt;$R$51,IF($C$3&lt;$S$51,$U66,IF($C$3&lt;$T$51,$V66,IF($C$3&lt;$U$51,($W66),IF($C$3&lt;$V$51,($W66*1.04),IF($C$3&lt;$W$51,($W66*1.04*1.04),IF($C$3&lt;$X$51,($W66*1.04*1.04*1.04),0.9999))))))))*U36*V36*2)+((IF($C$3&gt;$R$51,IF($C$3&lt;$S$51,$U94,IF($C$3&lt;$T$51,$V94,IF($C$3&lt;$U$51,($W94),IF($C$3&lt;$V$51,($W94*1.04),IF($C$3&lt;$W$51,($W94*1.04*1.04),IF($C$3&lt;$X$51,($W94*1.04*1.04*1.04),0.9999)))))))*W36*X36*2))</f>
        <v>0</v>
      </c>
      <c r="Z36" s="918"/>
      <c r="AA36" s="943"/>
      <c r="AB36" s="943"/>
      <c r="AC36" s="943"/>
      <c r="AD36" s="944"/>
      <c r="AE36" s="942">
        <f>((IF($C$3&gt;$R$51,IF($C$3&lt;$S$51,$V66,IF($C$3&lt;$T$51,($W66),IF($C$3&lt;$U$51,($W66*1.04),IF($C$3&lt;$V$51,($W66*1.04*1.04),IF($C$3&lt;$W$51,($W66*1.04*1.04*1.04),IF($C$3&lt;$X$51,($W66*1.04*1.04*1.04*1.04),0.9999))))))))*AA36*AB36*2)+((IF($C$3&gt;$R$51,IF($C$3&lt;$S$51,$V94,IF($C$3&lt;$T$51,($W94),IF($C$3&lt;$U$51,($W94*1.04),IF($C$3&lt;$V$51,($W94*1.04*1.04),IF($C$3&lt;$W$51,($W94*1.04*1.04*1.04),IF($C$3&lt;$X$51,($W94*1.04*1.04*1.04*1.04),0.9999)))))))*AC36*AD36*2))</f>
        <v>0</v>
      </c>
    </row>
    <row r="37" spans="1:31" ht="12.75" hidden="1">
      <c r="A37" s="945" t="s">
        <v>428</v>
      </c>
      <c r="B37" s="929"/>
      <c r="C37" s="943"/>
      <c r="D37" s="943"/>
      <c r="E37" s="943"/>
      <c r="F37" s="943"/>
      <c r="G37" s="942">
        <f aca="true" t="shared" si="5" ref="G37:G44">((IF($C$3&gt;$R$51,IF($C$3&lt;$S$51,$R67,IF($C$3&lt;$T$51,$S67,IF($C$3&lt;$U$51,$T67,IF($C$3&lt;$V$51,$U67,IF($C$3&lt;$W$51,$V67,IF($C$3&lt;$X$51,($W67),0.9999))))))))*C37*D37*2)+((IF($C$3&gt;$R$51,IF($C$3&lt;$S$51,$R95,IF($C$3&lt;$T$51,$S95,IF($C$3&lt;$U$51,$T95,IF($C$3&lt;$V$51,$U95,IF($C$3&lt;$W$51,$V95,IF($C$3&lt;$X$51,($W95),0.9999)))))))*E37*F37*2))</f>
        <v>0</v>
      </c>
      <c r="H37" s="918"/>
      <c r="I37" s="943"/>
      <c r="J37" s="943"/>
      <c r="K37" s="943"/>
      <c r="L37" s="943"/>
      <c r="M37" s="942">
        <f aca="true" t="shared" si="6" ref="M37:M44">((IF($C$3&gt;$R$51,IF($C$3&lt;$S$51,$S67,IF($C$3&lt;$T$51,$T67,IF($C$3&lt;$U$51,$U67,IF($C$3&lt;$V$51,$V67,IF($C$3&lt;$W$51,($W67),IF($C$3&lt;$X$51,($W67*1.04),0.9999))))))))*I37*J37*2)+((IF($C$3&gt;$R$51,IF($C$3&lt;$S$51,$S95,IF($C$3&lt;$T$51,$T95,IF($C$3&lt;$U$51,$U95,IF($C$3&lt;$V$51,$V95,IF($C$3&lt;$W$51,($W95),IF($C$3&lt;$X$51,($W95*1.04),0.9999)))))))*K37*L37*2))</f>
        <v>0</v>
      </c>
      <c r="N37" s="826"/>
      <c r="O37" s="943"/>
      <c r="P37" s="943"/>
      <c r="Q37" s="943"/>
      <c r="R37" s="943"/>
      <c r="S37" s="942">
        <f aca="true" t="shared" si="7" ref="S37:S44">((IF($C$3&gt;$R$51,IF($C$3&lt;$S$51,$T67,IF($C$3&lt;$T$51,$U67,IF($C$3&lt;$U$51,$V67,IF($C$3&lt;$V$51,($W67),IF($C$3&lt;$W$51,($W67*1.04),IF($C$3&lt;$X$51,($W67*1.04*1.04),0.9999))))))))*O37*P37*2)+((IF($C$3&gt;$R$51,IF($C$3&lt;$S$51,$T95,IF($C$3&lt;$T$51,$U95,IF($C$3&lt;$U$51,$V95,IF($C$3&lt;$V$51,($W95),IF($C$3&lt;$W$51,($W95*1.04),IF($C$3&lt;$X$51,($W95*1.04*1.04),0.9999)))))))*Q37*R37*2))</f>
        <v>0</v>
      </c>
      <c r="T37" s="927"/>
      <c r="U37" s="943"/>
      <c r="V37" s="943"/>
      <c r="W37" s="943"/>
      <c r="X37" s="943"/>
      <c r="Y37" s="942">
        <f aca="true" t="shared" si="8" ref="Y37:Y44">((IF($C$3&gt;$R$51,IF($C$3&lt;$S$51,$U67,IF($C$3&lt;$T$51,$V67,IF($C$3&lt;$U$51,($W67),IF($C$3&lt;$V$51,($W67*1.04),IF($C$3&lt;$W$51,($W67*1.04*1.04),IF($C$3&lt;$X$51,($W67*1.04*1.04*1.04),0.9999))))))))*U37*V37*2)+((IF($C$3&gt;$R$51,IF($C$3&lt;$S$51,$U95,IF($C$3&lt;$T$51,$V95,IF($C$3&lt;$U$51,($W95),IF($C$3&lt;$V$51,($W95*1.04),IF($C$3&lt;$W$51,($W95*1.04*1.04),IF($C$3&lt;$X$51,($W95*1.04*1.04*1.04),0.9999)))))))*W37*X37*2))</f>
        <v>0</v>
      </c>
      <c r="Z37" s="918"/>
      <c r="AA37" s="943"/>
      <c r="AB37" s="943"/>
      <c r="AC37" s="943"/>
      <c r="AD37" s="944"/>
      <c r="AE37" s="942">
        <f aca="true" t="shared" si="9" ref="AE37:AE44">((IF($C$3&gt;$R$51,IF($C$3&lt;$S$51,$V67,IF($C$3&lt;$T$51,($W67),IF($C$3&lt;$U$51,($W67*1.04),IF($C$3&lt;$V$51,($W67*1.04*1.04),IF($C$3&lt;$W$51,($W67*1.04*1.04*1.04),IF($C$3&lt;$X$51,($W67*1.04*1.04*1.04*1.04),0.9999))))))))*AA37*AB37*2)+((IF($C$3&gt;$R$51,IF($C$3&lt;$S$51,$V95,IF($C$3&lt;$T$51,($W95),IF($C$3&lt;$U$51,($W95*1.04),IF($C$3&lt;$V$51,($W95*1.04*1.04),IF($C$3&lt;$W$51,($W95*1.04*1.04*1.04),IF($C$3&lt;$X$51,($W95*1.04*1.04*1.04*1.04),0.9999)))))))*AC37*AD37*2))</f>
        <v>0</v>
      </c>
    </row>
    <row r="38" spans="1:31" ht="12.75">
      <c r="A38" s="945" t="s">
        <v>429</v>
      </c>
      <c r="B38" s="929"/>
      <c r="C38" s="943"/>
      <c r="D38" s="943"/>
      <c r="E38" s="943"/>
      <c r="F38" s="943"/>
      <c r="G38" s="942">
        <f t="shared" si="5"/>
        <v>0</v>
      </c>
      <c r="H38" s="918"/>
      <c r="I38" s="943"/>
      <c r="J38" s="943"/>
      <c r="K38" s="943"/>
      <c r="L38" s="943"/>
      <c r="M38" s="942">
        <f t="shared" si="6"/>
        <v>0</v>
      </c>
      <c r="N38" s="826"/>
      <c r="O38" s="943"/>
      <c r="P38" s="943"/>
      <c r="Q38" s="943"/>
      <c r="R38" s="943"/>
      <c r="S38" s="942">
        <f t="shared" si="7"/>
        <v>0</v>
      </c>
      <c r="T38" s="927"/>
      <c r="U38" s="943"/>
      <c r="V38" s="943"/>
      <c r="W38" s="943"/>
      <c r="X38" s="943"/>
      <c r="Y38" s="942">
        <f t="shared" si="8"/>
        <v>0</v>
      </c>
      <c r="Z38" s="918"/>
      <c r="AA38" s="943"/>
      <c r="AB38" s="943"/>
      <c r="AC38" s="943"/>
      <c r="AD38" s="944"/>
      <c r="AE38" s="942">
        <f t="shared" si="9"/>
        <v>0</v>
      </c>
    </row>
    <row r="39" spans="1:31" ht="12.75">
      <c r="A39" s="945" t="s">
        <v>430</v>
      </c>
      <c r="B39" s="929"/>
      <c r="C39" s="943"/>
      <c r="D39" s="943"/>
      <c r="E39" s="943"/>
      <c r="F39" s="943"/>
      <c r="G39" s="942">
        <f t="shared" si="5"/>
        <v>0</v>
      </c>
      <c r="H39" s="918"/>
      <c r="I39" s="943"/>
      <c r="J39" s="943"/>
      <c r="K39" s="943"/>
      <c r="L39" s="943"/>
      <c r="M39" s="942">
        <f t="shared" si="6"/>
        <v>0</v>
      </c>
      <c r="N39" s="826"/>
      <c r="O39" s="943"/>
      <c r="P39" s="943"/>
      <c r="Q39" s="943"/>
      <c r="R39" s="943"/>
      <c r="S39" s="942">
        <f t="shared" si="7"/>
        <v>0</v>
      </c>
      <c r="T39" s="927"/>
      <c r="U39" s="943"/>
      <c r="V39" s="943"/>
      <c r="W39" s="943"/>
      <c r="X39" s="943"/>
      <c r="Y39" s="942">
        <f t="shared" si="8"/>
        <v>0</v>
      </c>
      <c r="Z39" s="918"/>
      <c r="AA39" s="943"/>
      <c r="AB39" s="943"/>
      <c r="AC39" s="943"/>
      <c r="AD39" s="944"/>
      <c r="AE39" s="942">
        <f t="shared" si="9"/>
        <v>0</v>
      </c>
    </row>
    <row r="40" spans="1:31" ht="12.75">
      <c r="A40" s="945" t="s">
        <v>431</v>
      </c>
      <c r="B40" s="929"/>
      <c r="C40" s="943"/>
      <c r="D40" s="943"/>
      <c r="E40" s="943"/>
      <c r="F40" s="943"/>
      <c r="G40" s="942">
        <f t="shared" si="5"/>
        <v>0</v>
      </c>
      <c r="H40" s="918"/>
      <c r="I40" s="943"/>
      <c r="J40" s="943"/>
      <c r="K40" s="943"/>
      <c r="L40" s="943"/>
      <c r="M40" s="942">
        <f t="shared" si="6"/>
        <v>0</v>
      </c>
      <c r="N40" s="826"/>
      <c r="O40" s="943"/>
      <c r="P40" s="943"/>
      <c r="Q40" s="943"/>
      <c r="R40" s="943"/>
      <c r="S40" s="942">
        <f t="shared" si="7"/>
        <v>0</v>
      </c>
      <c r="T40" s="927"/>
      <c r="U40" s="943"/>
      <c r="V40" s="943"/>
      <c r="W40" s="943"/>
      <c r="X40" s="943"/>
      <c r="Y40" s="942">
        <f t="shared" si="8"/>
        <v>0</v>
      </c>
      <c r="Z40" s="918"/>
      <c r="AA40" s="943"/>
      <c r="AB40" s="943"/>
      <c r="AC40" s="943"/>
      <c r="AD40" s="944"/>
      <c r="AE40" s="942">
        <f t="shared" si="9"/>
        <v>0</v>
      </c>
    </row>
    <row r="41" spans="1:31" ht="12.75" hidden="1">
      <c r="A41" s="945" t="s">
        <v>432</v>
      </c>
      <c r="B41" s="929"/>
      <c r="C41" s="943"/>
      <c r="D41" s="943"/>
      <c r="E41" s="943"/>
      <c r="F41" s="943"/>
      <c r="G41" s="942">
        <f t="shared" si="5"/>
        <v>0</v>
      </c>
      <c r="H41" s="918"/>
      <c r="I41" s="943"/>
      <c r="J41" s="943"/>
      <c r="K41" s="943"/>
      <c r="L41" s="943"/>
      <c r="M41" s="942">
        <f t="shared" si="6"/>
        <v>0</v>
      </c>
      <c r="N41" s="826"/>
      <c r="O41" s="943"/>
      <c r="P41" s="943"/>
      <c r="Q41" s="943"/>
      <c r="R41" s="943"/>
      <c r="S41" s="942">
        <f t="shared" si="7"/>
        <v>0</v>
      </c>
      <c r="T41" s="927"/>
      <c r="U41" s="943"/>
      <c r="V41" s="943"/>
      <c r="W41" s="943"/>
      <c r="X41" s="943"/>
      <c r="Y41" s="942">
        <f t="shared" si="8"/>
        <v>0</v>
      </c>
      <c r="Z41" s="918"/>
      <c r="AA41" s="943"/>
      <c r="AB41" s="943"/>
      <c r="AC41" s="943"/>
      <c r="AD41" s="944"/>
      <c r="AE41" s="942">
        <f t="shared" si="9"/>
        <v>0</v>
      </c>
    </row>
    <row r="42" spans="1:31" ht="12.75">
      <c r="A42" s="945" t="s">
        <v>349</v>
      </c>
      <c r="B42" s="929"/>
      <c r="C42" s="943"/>
      <c r="D42" s="943"/>
      <c r="E42" s="943"/>
      <c r="F42" s="943"/>
      <c r="G42" s="942">
        <f t="shared" si="5"/>
        <v>0</v>
      </c>
      <c r="H42" s="918"/>
      <c r="I42" s="943"/>
      <c r="J42" s="943"/>
      <c r="K42" s="943"/>
      <c r="L42" s="943"/>
      <c r="M42" s="942">
        <f t="shared" si="6"/>
        <v>0</v>
      </c>
      <c r="N42" s="826"/>
      <c r="O42" s="943"/>
      <c r="P42" s="943"/>
      <c r="Q42" s="943"/>
      <c r="R42" s="943"/>
      <c r="S42" s="942">
        <f t="shared" si="7"/>
        <v>0</v>
      </c>
      <c r="T42" s="927"/>
      <c r="U42" s="943"/>
      <c r="V42" s="943"/>
      <c r="W42" s="943"/>
      <c r="X42" s="943"/>
      <c r="Y42" s="942">
        <f t="shared" si="8"/>
        <v>0</v>
      </c>
      <c r="Z42" s="918"/>
      <c r="AA42" s="943"/>
      <c r="AB42" s="943"/>
      <c r="AC42" s="943"/>
      <c r="AD42" s="944"/>
      <c r="AE42" s="942">
        <f t="shared" si="9"/>
        <v>0</v>
      </c>
    </row>
    <row r="43" spans="1:31" ht="12.75">
      <c r="A43" s="945" t="s">
        <v>433</v>
      </c>
      <c r="B43" s="929"/>
      <c r="C43" s="943"/>
      <c r="D43" s="943"/>
      <c r="E43" s="943"/>
      <c r="F43" s="943"/>
      <c r="G43" s="942">
        <f t="shared" si="5"/>
        <v>0</v>
      </c>
      <c r="H43" s="918"/>
      <c r="I43" s="943"/>
      <c r="J43" s="943"/>
      <c r="K43" s="943"/>
      <c r="L43" s="943"/>
      <c r="M43" s="942">
        <f t="shared" si="6"/>
        <v>0</v>
      </c>
      <c r="N43" s="826"/>
      <c r="O43" s="943"/>
      <c r="P43" s="943"/>
      <c r="Q43" s="943"/>
      <c r="R43" s="943"/>
      <c r="S43" s="942">
        <f t="shared" si="7"/>
        <v>0</v>
      </c>
      <c r="T43" s="927"/>
      <c r="U43" s="943"/>
      <c r="V43" s="943"/>
      <c r="W43" s="943"/>
      <c r="X43" s="943"/>
      <c r="Y43" s="942">
        <f t="shared" si="8"/>
        <v>0</v>
      </c>
      <c r="Z43" s="918"/>
      <c r="AA43" s="943"/>
      <c r="AB43" s="943"/>
      <c r="AC43" s="943"/>
      <c r="AD43" s="944"/>
      <c r="AE43" s="942">
        <f t="shared" si="9"/>
        <v>0</v>
      </c>
    </row>
    <row r="44" spans="1:31" ht="12.75">
      <c r="A44" s="945" t="s">
        <v>434</v>
      </c>
      <c r="B44" s="930"/>
      <c r="C44" s="943"/>
      <c r="D44" s="943"/>
      <c r="E44" s="943"/>
      <c r="F44" s="943"/>
      <c r="G44" s="942">
        <f t="shared" si="5"/>
        <v>0</v>
      </c>
      <c r="H44" s="918"/>
      <c r="I44" s="943"/>
      <c r="J44" s="943"/>
      <c r="K44" s="943"/>
      <c r="L44" s="943"/>
      <c r="M44" s="942">
        <f t="shared" si="6"/>
        <v>0</v>
      </c>
      <c r="N44" s="826"/>
      <c r="O44" s="943"/>
      <c r="P44" s="943"/>
      <c r="Q44" s="943"/>
      <c r="R44" s="943"/>
      <c r="S44" s="942">
        <f t="shared" si="7"/>
        <v>0</v>
      </c>
      <c r="T44" s="927"/>
      <c r="U44" s="943"/>
      <c r="V44" s="943"/>
      <c r="W44" s="943"/>
      <c r="X44" s="943"/>
      <c r="Y44" s="942">
        <f t="shared" si="8"/>
        <v>0</v>
      </c>
      <c r="Z44" s="918"/>
      <c r="AA44" s="943"/>
      <c r="AB44" s="943"/>
      <c r="AC44" s="943"/>
      <c r="AD44" s="944"/>
      <c r="AE44" s="942">
        <f t="shared" si="9"/>
        <v>0</v>
      </c>
    </row>
    <row r="45" spans="1:31" ht="12.75">
      <c r="A45" s="931" t="s">
        <v>68</v>
      </c>
      <c r="B45" s="932"/>
      <c r="C45" s="932"/>
      <c r="D45" s="927"/>
      <c r="E45" s="918"/>
      <c r="F45" s="927"/>
      <c r="G45" s="927">
        <f>SUM(G36:G44)</f>
        <v>0</v>
      </c>
      <c r="H45" s="918"/>
      <c r="I45" s="918"/>
      <c r="J45" s="919"/>
      <c r="K45" s="932"/>
      <c r="L45" s="927"/>
      <c r="M45" s="927">
        <f>SUM(M36:M44)</f>
        <v>0</v>
      </c>
      <c r="N45" s="927"/>
      <c r="O45" s="918"/>
      <c r="P45" s="918"/>
      <c r="Q45" s="933"/>
      <c r="R45" s="915"/>
      <c r="S45" s="927">
        <f>SUM(S36:S44)</f>
        <v>0</v>
      </c>
      <c r="T45" s="927"/>
      <c r="U45" s="927"/>
      <c r="V45" s="927"/>
      <c r="W45" s="918"/>
      <c r="X45" s="918"/>
      <c r="Y45" s="927">
        <f>SUM(Y36:Y44)</f>
        <v>0</v>
      </c>
      <c r="Z45" s="918"/>
      <c r="AA45" s="918"/>
      <c r="AB45" s="918"/>
      <c r="AC45" s="918"/>
      <c r="AD45" s="918"/>
      <c r="AE45" s="927">
        <f>SUM(AE36:AE44)</f>
        <v>0</v>
      </c>
    </row>
    <row r="46" spans="9:31" ht="12.75">
      <c r="I46" s="825"/>
      <c r="P46" s="825"/>
      <c r="Q46" s="825"/>
      <c r="AE46" s="825"/>
    </row>
    <row r="47" spans="9:31" ht="12.75">
      <c r="I47" s="825"/>
      <c r="M47" s="825"/>
      <c r="N47" s="825"/>
      <c r="O47" s="825"/>
      <c r="P47" s="825"/>
      <c r="Q47" s="825"/>
      <c r="R47" s="825"/>
      <c r="S47" s="825"/>
      <c r="T47" s="825"/>
      <c r="U47" s="825"/>
      <c r="V47" s="825"/>
      <c r="W47" s="825"/>
      <c r="Y47" s="825"/>
      <c r="Z47" s="825"/>
      <c r="AA47" s="825"/>
      <c r="AB47" s="825"/>
      <c r="AC47" s="825"/>
      <c r="AD47" s="825"/>
      <c r="AE47" s="825"/>
    </row>
    <row r="48" spans="1:33" ht="12.75">
      <c r="A48" s="8" t="s">
        <v>15</v>
      </c>
      <c r="B48" s="9"/>
      <c r="C48" s="9"/>
      <c r="D48" s="9"/>
      <c r="E48" s="9"/>
      <c r="F48" s="9"/>
      <c r="G48" s="9"/>
      <c r="H48" s="9"/>
      <c r="I48" s="825"/>
      <c r="J48" s="827"/>
      <c r="K48" s="827"/>
      <c r="L48" s="827"/>
      <c r="M48" s="825"/>
      <c r="N48" s="825"/>
      <c r="O48" s="966"/>
      <c r="P48" s="966"/>
      <c r="Q48" s="966"/>
      <c r="R48" s="966"/>
      <c r="S48" s="966"/>
      <c r="T48" s="966"/>
      <c r="U48" s="966"/>
      <c r="V48" s="966"/>
      <c r="W48" s="966"/>
      <c r="X48" s="966"/>
      <c r="Y48" s="966"/>
      <c r="Z48" s="966"/>
      <c r="AA48" s="966"/>
      <c r="AB48" s="966"/>
      <c r="AC48" s="966"/>
      <c r="AD48" s="966"/>
      <c r="AE48" s="966"/>
      <c r="AF48" s="966"/>
      <c r="AG48" s="965"/>
    </row>
    <row r="49" spans="1:33" ht="12.75">
      <c r="A49" s="9"/>
      <c r="B49" s="9"/>
      <c r="C49" s="10" t="s">
        <v>17</v>
      </c>
      <c r="D49" s="10" t="s">
        <v>18</v>
      </c>
      <c r="E49" s="10" t="s">
        <v>19</v>
      </c>
      <c r="F49" s="10" t="s">
        <v>20</v>
      </c>
      <c r="G49" s="10" t="s">
        <v>21</v>
      </c>
      <c r="H49" s="10" t="s">
        <v>22</v>
      </c>
      <c r="I49" s="825"/>
      <c r="J49" s="827"/>
      <c r="K49" s="827"/>
      <c r="L49" s="827"/>
      <c r="M49" s="825"/>
      <c r="N49" s="825"/>
      <c r="O49" s="966"/>
      <c r="P49" s="966"/>
      <c r="Q49" s="966"/>
      <c r="R49" s="966"/>
      <c r="S49" s="966"/>
      <c r="T49" s="966"/>
      <c r="U49" s="966"/>
      <c r="V49" s="966"/>
      <c r="W49" s="966"/>
      <c r="X49" s="966"/>
      <c r="Y49" s="966"/>
      <c r="Z49" s="966"/>
      <c r="AA49" s="966"/>
      <c r="AB49" s="966"/>
      <c r="AC49" s="966"/>
      <c r="AD49" s="966"/>
      <c r="AE49" s="966"/>
      <c r="AF49" s="966"/>
      <c r="AG49" s="965"/>
    </row>
    <row r="50" spans="2:33" ht="12.75">
      <c r="B50" s="11" t="s">
        <v>24</v>
      </c>
      <c r="C50" s="12"/>
      <c r="D50" s="12"/>
      <c r="E50" s="12"/>
      <c r="F50" s="12"/>
      <c r="G50" s="12"/>
      <c r="H50" s="1">
        <f aca="true" t="shared" si="10" ref="H50:H59">SUM(C50:G50)</f>
        <v>0</v>
      </c>
      <c r="I50" s="825"/>
      <c r="J50" s="936">
        <v>589</v>
      </c>
      <c r="K50" s="937" t="s">
        <v>4</v>
      </c>
      <c r="L50" s="826"/>
      <c r="M50" s="914"/>
      <c r="N50" s="913"/>
      <c r="O50" s="969">
        <v>3</v>
      </c>
      <c r="P50" s="970"/>
      <c r="Q50" s="971" t="s">
        <v>418</v>
      </c>
      <c r="R50" s="972" t="s">
        <v>450</v>
      </c>
      <c r="S50" s="973" t="s">
        <v>17</v>
      </c>
      <c r="T50" s="973" t="s">
        <v>18</v>
      </c>
      <c r="U50" s="973" t="s">
        <v>19</v>
      </c>
      <c r="V50" s="973" t="s">
        <v>20</v>
      </c>
      <c r="W50" s="973" t="s">
        <v>21</v>
      </c>
      <c r="X50" s="966"/>
      <c r="Y50" s="966"/>
      <c r="Z50" s="966">
        <f>IF(AND(C3&gt;=AB57,C3&lt;=AD57),1,IF(AND(C3&gt;=AB58,C3&lt;=AD58),2,IF(AND(C3&gt;=AB59,C3&lt;=AD59),3,IF(AND(C3&gt;=AB60,C3&lt;=AD60),4,0))))</f>
        <v>0</v>
      </c>
      <c r="AA50" s="974">
        <v>39814</v>
      </c>
      <c r="AB50" s="966">
        <v>39814</v>
      </c>
      <c r="AC50" s="974">
        <v>40178</v>
      </c>
      <c r="AD50" s="966">
        <v>40178</v>
      </c>
      <c r="AE50" s="966"/>
      <c r="AF50" s="966"/>
      <c r="AG50" s="965"/>
    </row>
    <row r="51" spans="2:33" ht="12.75">
      <c r="B51" s="13" t="s">
        <v>25</v>
      </c>
      <c r="C51" s="14"/>
      <c r="D51" s="14"/>
      <c r="E51" s="14"/>
      <c r="F51" s="14"/>
      <c r="G51" s="14"/>
      <c r="H51" s="1">
        <f t="shared" si="10"/>
        <v>0</v>
      </c>
      <c r="I51" s="825"/>
      <c r="J51" s="937">
        <v>466</v>
      </c>
      <c r="K51" s="937" t="s">
        <v>6</v>
      </c>
      <c r="L51" s="826"/>
      <c r="M51" s="914"/>
      <c r="N51" s="913"/>
      <c r="O51" s="966"/>
      <c r="P51" s="970"/>
      <c r="Q51" s="970"/>
      <c r="R51" s="975">
        <v>42370</v>
      </c>
      <c r="S51" s="975">
        <v>42736</v>
      </c>
      <c r="T51" s="975">
        <v>43101</v>
      </c>
      <c r="U51" s="975">
        <v>43466</v>
      </c>
      <c r="V51" s="975">
        <v>43831</v>
      </c>
      <c r="W51" s="975">
        <v>44197</v>
      </c>
      <c r="X51" s="975">
        <v>44562</v>
      </c>
      <c r="Y51" s="966"/>
      <c r="Z51" s="966"/>
      <c r="AA51" s="974">
        <v>40179</v>
      </c>
      <c r="AB51" s="966">
        <v>40179</v>
      </c>
      <c r="AC51" s="974">
        <v>40543</v>
      </c>
      <c r="AD51" s="966">
        <v>40543</v>
      </c>
      <c r="AE51" s="966"/>
      <c r="AF51" s="966"/>
      <c r="AG51" s="965"/>
    </row>
    <row r="52" spans="2:33" ht="22.5">
      <c r="B52" s="11" t="s">
        <v>26</v>
      </c>
      <c r="C52" s="12"/>
      <c r="D52" s="12"/>
      <c r="E52" s="12"/>
      <c r="F52" s="12"/>
      <c r="G52" s="12"/>
      <c r="H52" s="1">
        <f t="shared" si="10"/>
        <v>0</v>
      </c>
      <c r="I52" s="825"/>
      <c r="J52" s="937">
        <v>463</v>
      </c>
      <c r="K52" s="937" t="s">
        <v>8</v>
      </c>
      <c r="L52" s="826"/>
      <c r="M52" s="914"/>
      <c r="N52" s="913"/>
      <c r="O52" s="966"/>
      <c r="P52" s="984" t="s">
        <v>419</v>
      </c>
      <c r="Q52" s="970"/>
      <c r="R52" s="976" t="s">
        <v>420</v>
      </c>
      <c r="S52" s="976" t="s">
        <v>421</v>
      </c>
      <c r="T52" s="976" t="s">
        <v>449</v>
      </c>
      <c r="U52" s="976" t="s">
        <v>451</v>
      </c>
      <c r="V52" s="976" t="s">
        <v>453</v>
      </c>
      <c r="W52" s="976" t="s">
        <v>466</v>
      </c>
      <c r="X52" s="966"/>
      <c r="Y52" s="966"/>
      <c r="Z52" s="966"/>
      <c r="AA52" s="974">
        <v>40544</v>
      </c>
      <c r="AB52" s="966">
        <v>40544</v>
      </c>
      <c r="AC52" s="974">
        <v>40908</v>
      </c>
      <c r="AD52" s="966">
        <v>40908</v>
      </c>
      <c r="AE52" s="966"/>
      <c r="AF52" s="966"/>
      <c r="AG52" s="965"/>
    </row>
    <row r="53" spans="2:33" ht="12.75">
      <c r="B53" s="13" t="s">
        <v>27</v>
      </c>
      <c r="C53" s="14"/>
      <c r="D53" s="14"/>
      <c r="E53" s="14"/>
      <c r="F53" s="14"/>
      <c r="G53" s="14"/>
      <c r="H53" s="1">
        <f t="shared" si="10"/>
        <v>0</v>
      </c>
      <c r="I53" s="825"/>
      <c r="J53" s="937">
        <v>570</v>
      </c>
      <c r="K53" s="937" t="s">
        <v>245</v>
      </c>
      <c r="L53" s="826"/>
      <c r="M53" s="914"/>
      <c r="N53" s="913"/>
      <c r="O53" s="966"/>
      <c r="P53" s="970"/>
      <c r="Q53" s="977" t="s">
        <v>6</v>
      </c>
      <c r="R53" s="978">
        <v>558</v>
      </c>
      <c r="S53" s="978">
        <v>602</v>
      </c>
      <c r="T53" s="978">
        <v>650</v>
      </c>
      <c r="U53" s="978">
        <v>702</v>
      </c>
      <c r="V53" s="978">
        <v>758</v>
      </c>
      <c r="W53" s="978">
        <v>819</v>
      </c>
      <c r="X53" s="966"/>
      <c r="Y53" s="966"/>
      <c r="Z53" s="966"/>
      <c r="AA53" s="974">
        <v>40909</v>
      </c>
      <c r="AB53" s="966">
        <v>40909</v>
      </c>
      <c r="AC53" s="974">
        <v>41274</v>
      </c>
      <c r="AD53" s="966">
        <v>41273</v>
      </c>
      <c r="AE53" s="966"/>
      <c r="AF53" s="966"/>
      <c r="AG53" s="965"/>
    </row>
    <row r="54" spans="2:33" ht="12.75">
      <c r="B54" s="11" t="s">
        <v>28</v>
      </c>
      <c r="C54" s="12"/>
      <c r="D54" s="12"/>
      <c r="E54" s="12"/>
      <c r="F54" s="12"/>
      <c r="G54" s="12"/>
      <c r="H54" s="1">
        <f t="shared" si="10"/>
        <v>0</v>
      </c>
      <c r="I54" s="825"/>
      <c r="J54" s="937">
        <v>589</v>
      </c>
      <c r="K54" s="937" t="s">
        <v>9</v>
      </c>
      <c r="L54" s="826"/>
      <c r="M54" s="914"/>
      <c r="N54" s="913"/>
      <c r="O54" s="966"/>
      <c r="P54" s="977"/>
      <c r="Q54" s="977" t="s">
        <v>8</v>
      </c>
      <c r="R54" s="978">
        <v>453</v>
      </c>
      <c r="S54" s="978">
        <v>476</v>
      </c>
      <c r="T54" s="978">
        <v>499</v>
      </c>
      <c r="U54" s="978">
        <v>524</v>
      </c>
      <c r="V54" s="978">
        <v>551</v>
      </c>
      <c r="W54" s="978">
        <v>578</v>
      </c>
      <c r="X54" s="966"/>
      <c r="Y54" s="966"/>
      <c r="Z54" s="966"/>
      <c r="AA54" s="974">
        <v>41275</v>
      </c>
      <c r="AB54" s="966">
        <v>41274</v>
      </c>
      <c r="AC54" s="974">
        <v>41639</v>
      </c>
      <c r="AD54" s="966">
        <v>41638</v>
      </c>
      <c r="AE54" s="966"/>
      <c r="AF54" s="966"/>
      <c r="AG54" s="965"/>
    </row>
    <row r="55" spans="2:33" ht="12.75">
      <c r="B55" s="13" t="s">
        <v>29</v>
      </c>
      <c r="C55" s="14"/>
      <c r="D55" s="14"/>
      <c r="E55" s="14"/>
      <c r="F55" s="14"/>
      <c r="G55" s="14"/>
      <c r="H55" s="1">
        <f t="shared" si="10"/>
        <v>0</v>
      </c>
      <c r="I55" s="825"/>
      <c r="J55" s="937">
        <v>451</v>
      </c>
      <c r="K55" s="937" t="s">
        <v>11</v>
      </c>
      <c r="L55" s="826"/>
      <c r="M55" s="914"/>
      <c r="N55" s="913"/>
      <c r="O55" s="966"/>
      <c r="P55" s="977"/>
      <c r="Q55" s="977" t="s">
        <v>422</v>
      </c>
      <c r="R55" s="978">
        <v>453</v>
      </c>
      <c r="S55" s="978">
        <v>476</v>
      </c>
      <c r="T55" s="978">
        <v>499</v>
      </c>
      <c r="U55" s="978">
        <v>524</v>
      </c>
      <c r="V55" s="978">
        <v>551</v>
      </c>
      <c r="W55" s="978">
        <v>578</v>
      </c>
      <c r="X55" s="966"/>
      <c r="Y55" s="966"/>
      <c r="Z55" s="966"/>
      <c r="AA55" s="974">
        <v>41640</v>
      </c>
      <c r="AB55" s="966">
        <v>41639</v>
      </c>
      <c r="AC55" s="974">
        <v>42004</v>
      </c>
      <c r="AD55" s="966">
        <v>42003</v>
      </c>
      <c r="AE55" s="966"/>
      <c r="AF55" s="966"/>
      <c r="AG55" s="965"/>
    </row>
    <row r="56" spans="2:33" ht="12.75">
      <c r="B56" s="11" t="s">
        <v>30</v>
      </c>
      <c r="C56" s="12"/>
      <c r="D56" s="12"/>
      <c r="E56" s="12"/>
      <c r="F56" s="12"/>
      <c r="G56" s="12"/>
      <c r="H56" s="1">
        <f t="shared" si="10"/>
        <v>0</v>
      </c>
      <c r="I56" s="825"/>
      <c r="J56" s="937">
        <v>490</v>
      </c>
      <c r="K56" s="937" t="s">
        <v>255</v>
      </c>
      <c r="L56" s="826"/>
      <c r="M56" s="914"/>
      <c r="N56" s="913"/>
      <c r="O56" s="966"/>
      <c r="P56" s="977"/>
      <c r="Q56" s="977" t="s">
        <v>9</v>
      </c>
      <c r="R56" s="978">
        <v>453</v>
      </c>
      <c r="S56" s="978">
        <v>476</v>
      </c>
      <c r="T56" s="978">
        <v>499</v>
      </c>
      <c r="U56" s="978">
        <v>524</v>
      </c>
      <c r="V56" s="978">
        <v>551</v>
      </c>
      <c r="W56" s="978">
        <v>578</v>
      </c>
      <c r="X56" s="966"/>
      <c r="Y56" s="966"/>
      <c r="Z56" s="966"/>
      <c r="AA56" s="974">
        <v>42005</v>
      </c>
      <c r="AB56" s="966">
        <v>42004</v>
      </c>
      <c r="AC56" s="974">
        <v>42369</v>
      </c>
      <c r="AD56" s="966">
        <v>42368</v>
      </c>
      <c r="AE56" s="966"/>
      <c r="AF56" s="966"/>
      <c r="AG56" s="965"/>
    </row>
    <row r="57" spans="2:33" ht="12.75">
      <c r="B57" s="13" t="s">
        <v>31</v>
      </c>
      <c r="C57" s="14"/>
      <c r="D57" s="14"/>
      <c r="E57" s="14"/>
      <c r="F57" s="14"/>
      <c r="G57" s="14"/>
      <c r="H57" s="1">
        <f t="shared" si="10"/>
        <v>0</v>
      </c>
      <c r="I57" s="825"/>
      <c r="J57" s="937">
        <v>0</v>
      </c>
      <c r="K57" s="937" t="s">
        <v>12</v>
      </c>
      <c r="L57" s="826"/>
      <c r="M57" s="914"/>
      <c r="N57" s="913"/>
      <c r="O57" s="966"/>
      <c r="P57" s="977"/>
      <c r="Q57" s="977" t="s">
        <v>423</v>
      </c>
      <c r="R57" s="978">
        <v>453</v>
      </c>
      <c r="S57" s="978">
        <v>476</v>
      </c>
      <c r="T57" s="978">
        <v>499</v>
      </c>
      <c r="U57" s="978">
        <v>524</v>
      </c>
      <c r="V57" s="978">
        <v>551</v>
      </c>
      <c r="W57" s="978">
        <v>578</v>
      </c>
      <c r="X57" s="966"/>
      <c r="Y57" s="966"/>
      <c r="Z57" s="966"/>
      <c r="AA57" s="974">
        <v>42370</v>
      </c>
      <c r="AB57" s="966">
        <v>42369</v>
      </c>
      <c r="AC57" s="974">
        <v>42735</v>
      </c>
      <c r="AD57" s="966">
        <v>42733</v>
      </c>
      <c r="AE57" s="966"/>
      <c r="AF57" s="966"/>
      <c r="AG57" s="965"/>
    </row>
    <row r="58" spans="2:33" ht="12.75">
      <c r="B58" s="11" t="s">
        <v>32</v>
      </c>
      <c r="C58" s="12"/>
      <c r="D58" s="12"/>
      <c r="E58" s="12"/>
      <c r="F58" s="12"/>
      <c r="G58" s="12"/>
      <c r="H58" s="1">
        <f t="shared" si="10"/>
        <v>0</v>
      </c>
      <c r="I58" s="825"/>
      <c r="J58" s="937">
        <v>649</v>
      </c>
      <c r="K58" s="937" t="s">
        <v>346</v>
      </c>
      <c r="L58" s="826"/>
      <c r="M58" s="914"/>
      <c r="N58" s="913"/>
      <c r="O58" s="966"/>
      <c r="P58" s="977"/>
      <c r="Q58" s="977" t="s">
        <v>255</v>
      </c>
      <c r="R58" s="978">
        <v>453</v>
      </c>
      <c r="S58" s="978">
        <v>476</v>
      </c>
      <c r="T58" s="978">
        <v>499</v>
      </c>
      <c r="U58" s="978">
        <v>524</v>
      </c>
      <c r="V58" s="978">
        <v>551</v>
      </c>
      <c r="W58" s="978">
        <v>578</v>
      </c>
      <c r="X58" s="966"/>
      <c r="Y58" s="966"/>
      <c r="Z58" s="966"/>
      <c r="AA58" s="974">
        <v>42736</v>
      </c>
      <c r="AB58" s="966">
        <v>42734</v>
      </c>
      <c r="AC58" s="974">
        <v>43100</v>
      </c>
      <c r="AD58" s="966">
        <v>43098</v>
      </c>
      <c r="AE58" s="966"/>
      <c r="AF58" s="966"/>
      <c r="AG58" s="965"/>
    </row>
    <row r="59" spans="2:33" ht="12.75">
      <c r="B59" s="13" t="s">
        <v>33</v>
      </c>
      <c r="C59" s="14"/>
      <c r="D59" s="14"/>
      <c r="E59" s="14"/>
      <c r="F59" s="14"/>
      <c r="G59" s="14"/>
      <c r="H59" s="1">
        <f t="shared" si="10"/>
        <v>0</v>
      </c>
      <c r="I59" s="825"/>
      <c r="J59" s="937">
        <v>511</v>
      </c>
      <c r="K59" s="937" t="s">
        <v>246</v>
      </c>
      <c r="L59" s="826"/>
      <c r="M59" s="914"/>
      <c r="N59" s="913"/>
      <c r="O59" s="966"/>
      <c r="P59" s="977"/>
      <c r="Q59" s="977" t="s">
        <v>424</v>
      </c>
      <c r="R59" s="978">
        <v>453</v>
      </c>
      <c r="S59" s="978">
        <v>476</v>
      </c>
      <c r="T59" s="978">
        <v>499</v>
      </c>
      <c r="U59" s="978">
        <v>524</v>
      </c>
      <c r="V59" s="978">
        <v>551</v>
      </c>
      <c r="W59" s="978">
        <v>578</v>
      </c>
      <c r="X59" s="966"/>
      <c r="Y59" s="966"/>
      <c r="Z59" s="966"/>
      <c r="AA59" s="974">
        <v>43101</v>
      </c>
      <c r="AB59" s="966">
        <v>43099</v>
      </c>
      <c r="AC59" s="974">
        <v>43465</v>
      </c>
      <c r="AD59" s="966">
        <v>43463</v>
      </c>
      <c r="AE59" s="966"/>
      <c r="AF59" s="966"/>
      <c r="AG59" s="965"/>
    </row>
    <row r="60" spans="1:33" ht="12.75">
      <c r="A60" s="15"/>
      <c r="B60" s="16"/>
      <c r="C60" s="17">
        <f aca="true" t="shared" si="11" ref="C60:G61">+C50+C52+C54+C56+C58</f>
        <v>0</v>
      </c>
      <c r="D60" s="17">
        <f t="shared" si="11"/>
        <v>0</v>
      </c>
      <c r="E60" s="17">
        <f t="shared" si="11"/>
        <v>0</v>
      </c>
      <c r="F60" s="17">
        <f t="shared" si="11"/>
        <v>0</v>
      </c>
      <c r="G60" s="17">
        <f t="shared" si="11"/>
        <v>0</v>
      </c>
      <c r="H60" s="15"/>
      <c r="I60" s="825"/>
      <c r="J60" s="937">
        <v>498</v>
      </c>
      <c r="K60" s="937" t="s">
        <v>13</v>
      </c>
      <c r="L60" s="826"/>
      <c r="M60" s="914"/>
      <c r="N60" s="913"/>
      <c r="O60" s="966"/>
      <c r="P60" s="977"/>
      <c r="Q60" s="977" t="s">
        <v>425</v>
      </c>
      <c r="R60" s="978">
        <v>453</v>
      </c>
      <c r="S60" s="978">
        <v>476</v>
      </c>
      <c r="T60" s="978">
        <v>499</v>
      </c>
      <c r="U60" s="978">
        <v>524</v>
      </c>
      <c r="V60" s="978">
        <v>551</v>
      </c>
      <c r="W60" s="978">
        <v>578</v>
      </c>
      <c r="X60" s="966"/>
      <c r="Y60" s="966"/>
      <c r="Z60" s="966"/>
      <c r="AA60" s="974">
        <v>43466</v>
      </c>
      <c r="AB60" s="966">
        <v>43464</v>
      </c>
      <c r="AC60" s="974">
        <v>43830</v>
      </c>
      <c r="AD60" s="966">
        <v>43828</v>
      </c>
      <c r="AE60" s="966"/>
      <c r="AF60" s="966"/>
      <c r="AG60" s="965"/>
    </row>
    <row r="61" spans="1:33" ht="12.75">
      <c r="A61" s="15"/>
      <c r="B61" s="15"/>
      <c r="C61" s="18">
        <f t="shared" si="11"/>
        <v>0</v>
      </c>
      <c r="D61" s="18">
        <f t="shared" si="11"/>
        <v>0</v>
      </c>
      <c r="E61" s="18">
        <f t="shared" si="11"/>
        <v>0</v>
      </c>
      <c r="F61" s="18">
        <f t="shared" si="11"/>
        <v>0</v>
      </c>
      <c r="G61" s="18">
        <f t="shared" si="11"/>
        <v>0</v>
      </c>
      <c r="H61" s="15"/>
      <c r="I61" s="825"/>
      <c r="J61" s="937">
        <v>585</v>
      </c>
      <c r="K61" s="937" t="s">
        <v>16</v>
      </c>
      <c r="L61" s="826"/>
      <c r="M61" s="914"/>
      <c r="N61" s="913"/>
      <c r="O61" s="966"/>
      <c r="P61" s="977"/>
      <c r="Q61" s="977" t="s">
        <v>13</v>
      </c>
      <c r="R61" s="978">
        <v>453</v>
      </c>
      <c r="S61" s="978">
        <v>476</v>
      </c>
      <c r="T61" s="978">
        <v>499</v>
      </c>
      <c r="U61" s="978">
        <v>524</v>
      </c>
      <c r="V61" s="978">
        <v>551</v>
      </c>
      <c r="W61" s="978">
        <v>578</v>
      </c>
      <c r="X61" s="966"/>
      <c r="Y61" s="966"/>
      <c r="Z61" s="966"/>
      <c r="AA61" s="974">
        <v>43831</v>
      </c>
      <c r="AB61" s="966">
        <v>43829</v>
      </c>
      <c r="AC61" s="974">
        <v>44196</v>
      </c>
      <c r="AD61" s="966">
        <v>44193</v>
      </c>
      <c r="AE61" s="966"/>
      <c r="AF61" s="966"/>
      <c r="AG61" s="965"/>
    </row>
    <row r="62" spans="1:33" ht="12.75">
      <c r="A62" s="19"/>
      <c r="B62" s="20"/>
      <c r="C62" s="21"/>
      <c r="D62" s="21"/>
      <c r="E62" s="21"/>
      <c r="F62" s="21"/>
      <c r="G62" s="21"/>
      <c r="H62" s="20"/>
      <c r="J62" s="937">
        <v>419</v>
      </c>
      <c r="K62" s="937" t="s">
        <v>14</v>
      </c>
      <c r="L62" s="826"/>
      <c r="M62" s="914"/>
      <c r="N62" s="963"/>
      <c r="O62" s="966"/>
      <c r="P62" s="977"/>
      <c r="Q62" s="977" t="s">
        <v>16</v>
      </c>
      <c r="R62" s="978">
        <v>453</v>
      </c>
      <c r="S62" s="978">
        <v>476</v>
      </c>
      <c r="T62" s="978">
        <v>499</v>
      </c>
      <c r="U62" s="978">
        <v>524</v>
      </c>
      <c r="V62" s="978">
        <v>551</v>
      </c>
      <c r="W62" s="978">
        <v>578</v>
      </c>
      <c r="X62" s="966"/>
      <c r="Y62" s="966"/>
      <c r="Z62" s="966"/>
      <c r="AA62" s="974">
        <v>44197</v>
      </c>
      <c r="AB62" s="966">
        <v>44194</v>
      </c>
      <c r="AC62" s="974">
        <v>44561</v>
      </c>
      <c r="AD62" s="966">
        <v>44558</v>
      </c>
      <c r="AE62" s="966"/>
      <c r="AF62" s="966"/>
      <c r="AG62" s="965"/>
    </row>
    <row r="63" spans="1:33" ht="12.75">
      <c r="A63" s="19"/>
      <c r="B63" s="22" t="s">
        <v>34</v>
      </c>
      <c r="C63" s="23">
        <f>+C50+C51</f>
        <v>0</v>
      </c>
      <c r="D63" s="23">
        <f>+D50+D51</f>
        <v>0</v>
      </c>
      <c r="E63" s="23">
        <f>+E50+E51</f>
        <v>0</v>
      </c>
      <c r="F63" s="23">
        <f>+F50+F51</f>
        <v>0</v>
      </c>
      <c r="G63" s="23">
        <f>+G50+G51</f>
        <v>0</v>
      </c>
      <c r="H63" s="24">
        <f>SUM(C63:G63)</f>
        <v>0</v>
      </c>
      <c r="J63" s="937">
        <v>726</v>
      </c>
      <c r="K63" s="937" t="s">
        <v>23</v>
      </c>
      <c r="L63" s="826"/>
      <c r="M63" s="914"/>
      <c r="N63" s="913"/>
      <c r="O63" s="966"/>
      <c r="P63" s="977"/>
      <c r="Q63" s="977" t="s">
        <v>14</v>
      </c>
      <c r="R63" s="978">
        <v>540</v>
      </c>
      <c r="S63" s="978">
        <v>567</v>
      </c>
      <c r="T63" s="978">
        <v>595</v>
      </c>
      <c r="U63" s="978">
        <v>625</v>
      </c>
      <c r="V63" s="978">
        <v>656</v>
      </c>
      <c r="W63" s="978">
        <v>689</v>
      </c>
      <c r="X63" s="966"/>
      <c r="Y63" s="966"/>
      <c r="Z63" s="966"/>
      <c r="AA63" s="974">
        <v>44562</v>
      </c>
      <c r="AB63" s="966">
        <v>44559</v>
      </c>
      <c r="AC63" s="974">
        <v>44926</v>
      </c>
      <c r="AD63" s="966">
        <v>44923</v>
      </c>
      <c r="AE63" s="966"/>
      <c r="AF63" s="966"/>
      <c r="AG63" s="965"/>
    </row>
    <row r="64" spans="1:33" ht="12.75">
      <c r="A64" s="19"/>
      <c r="B64" s="22" t="s">
        <v>35</v>
      </c>
      <c r="C64" s="23">
        <f>+C52+C53</f>
        <v>0</v>
      </c>
      <c r="D64" s="23">
        <f>+D52+D53</f>
        <v>0</v>
      </c>
      <c r="E64" s="23">
        <f>+E52+E53</f>
        <v>0</v>
      </c>
      <c r="F64" s="23">
        <f>+F52+F53</f>
        <v>0</v>
      </c>
      <c r="G64" s="23">
        <f>+G52+G53</f>
        <v>0</v>
      </c>
      <c r="H64" s="24">
        <f>SUM(C64:G64)</f>
        <v>0</v>
      </c>
      <c r="J64" s="827">
        <v>0</v>
      </c>
      <c r="K64" s="827" t="s">
        <v>348</v>
      </c>
      <c r="L64" s="938"/>
      <c r="M64" s="914"/>
      <c r="N64" s="913"/>
      <c r="O64" s="966"/>
      <c r="P64" s="977"/>
      <c r="Q64" s="977"/>
      <c r="R64" s="979"/>
      <c r="S64" s="979"/>
      <c r="T64" s="979"/>
      <c r="U64" s="979"/>
      <c r="V64" s="979"/>
      <c r="W64" s="979"/>
      <c r="X64" s="966"/>
      <c r="Y64" s="966"/>
      <c r="Z64" s="966"/>
      <c r="AA64" s="974">
        <v>44927</v>
      </c>
      <c r="AB64" s="966">
        <v>44924</v>
      </c>
      <c r="AC64" s="974">
        <v>45291</v>
      </c>
      <c r="AD64" s="966">
        <v>45288</v>
      </c>
      <c r="AE64" s="966"/>
      <c r="AF64" s="966"/>
      <c r="AG64" s="965"/>
    </row>
    <row r="65" spans="1:33" ht="12.75">
      <c r="A65" s="19"/>
      <c r="B65" s="22" t="s">
        <v>36</v>
      </c>
      <c r="C65" s="23">
        <f>+C54+C55</f>
        <v>0</v>
      </c>
      <c r="D65" s="23">
        <f>+D54+D55</f>
        <v>0</v>
      </c>
      <c r="E65" s="23">
        <f>+E54+E55</f>
        <v>0</v>
      </c>
      <c r="F65" s="23">
        <f>+F54+F55</f>
        <v>0</v>
      </c>
      <c r="G65" s="23">
        <f>+G54+G55</f>
        <v>0</v>
      </c>
      <c r="H65" s="24">
        <f>SUM(C65:G65)</f>
        <v>0</v>
      </c>
      <c r="J65" s="827">
        <v>546</v>
      </c>
      <c r="K65" s="827" t="s">
        <v>347</v>
      </c>
      <c r="L65" s="938"/>
      <c r="M65" s="914"/>
      <c r="N65" s="913"/>
      <c r="O65" s="966"/>
      <c r="P65" s="991" t="s">
        <v>426</v>
      </c>
      <c r="Q65" s="991"/>
      <c r="R65" s="979"/>
      <c r="S65" s="979"/>
      <c r="T65" s="979"/>
      <c r="U65" s="979"/>
      <c r="V65" s="979"/>
      <c r="W65" s="979"/>
      <c r="X65" s="966"/>
      <c r="Y65" s="966"/>
      <c r="Z65" s="966"/>
      <c r="AA65" s="974">
        <v>45292</v>
      </c>
      <c r="AB65" s="966">
        <v>45289</v>
      </c>
      <c r="AC65" s="974">
        <v>45657</v>
      </c>
      <c r="AD65" s="966">
        <v>45653</v>
      </c>
      <c r="AE65" s="966"/>
      <c r="AF65" s="966"/>
      <c r="AG65" s="965"/>
    </row>
    <row r="66" spans="1:33" ht="12.75">
      <c r="A66" s="19"/>
      <c r="B66" s="22" t="s">
        <v>37</v>
      </c>
      <c r="C66" s="23">
        <f>+C56+C57</f>
        <v>0</v>
      </c>
      <c r="D66" s="23">
        <f>+D56+D57</f>
        <v>0</v>
      </c>
      <c r="E66" s="23">
        <f>+E56+E57</f>
        <v>0</v>
      </c>
      <c r="F66" s="23">
        <f>+F56+F57</f>
        <v>0</v>
      </c>
      <c r="G66" s="23">
        <f>+G56+G57</f>
        <v>0</v>
      </c>
      <c r="H66" s="24">
        <f>SUM(C66:G66)</f>
        <v>0</v>
      </c>
      <c r="J66" s="938">
        <v>0</v>
      </c>
      <c r="K66" s="938" t="s">
        <v>247</v>
      </c>
      <c r="L66" s="826"/>
      <c r="M66" s="914"/>
      <c r="N66" s="913"/>
      <c r="O66" s="966"/>
      <c r="P66" s="977"/>
      <c r="Q66" s="977" t="s">
        <v>427</v>
      </c>
      <c r="R66" s="978">
        <v>1059</v>
      </c>
      <c r="S66" s="978">
        <v>1143</v>
      </c>
      <c r="T66" s="978">
        <v>1235</v>
      </c>
      <c r="U66" s="978">
        <v>1334</v>
      </c>
      <c r="V66" s="978">
        <v>1440</v>
      </c>
      <c r="W66" s="978">
        <v>1556</v>
      </c>
      <c r="X66" s="966"/>
      <c r="Y66" s="966"/>
      <c r="Z66" s="966"/>
      <c r="AA66" s="974">
        <v>45658</v>
      </c>
      <c r="AB66" s="966">
        <v>45654</v>
      </c>
      <c r="AC66" s="974">
        <v>46022</v>
      </c>
      <c r="AD66" s="966">
        <v>46018</v>
      </c>
      <c r="AE66" s="966"/>
      <c r="AF66" s="966"/>
      <c r="AG66" s="965"/>
    </row>
    <row r="67" spans="1:33" ht="12.75">
      <c r="A67" s="19"/>
      <c r="B67" s="22" t="s">
        <v>38</v>
      </c>
      <c r="C67" s="23">
        <f>+C58+C59</f>
        <v>0</v>
      </c>
      <c r="D67" s="23">
        <f>+D58+D59</f>
        <v>0</v>
      </c>
      <c r="E67" s="23">
        <f>+E58+E59</f>
        <v>0</v>
      </c>
      <c r="F67" s="23">
        <f>+F58+F59</f>
        <v>0</v>
      </c>
      <c r="G67" s="23">
        <f>+G58+G59</f>
        <v>0</v>
      </c>
      <c r="H67" s="25">
        <f>SUM(C67:G67)</f>
        <v>0</v>
      </c>
      <c r="J67" s="938">
        <v>0</v>
      </c>
      <c r="K67" s="938" t="s">
        <v>248</v>
      </c>
      <c r="L67" s="939"/>
      <c r="M67" s="964"/>
      <c r="N67" s="825"/>
      <c r="O67" s="966"/>
      <c r="P67" s="977"/>
      <c r="Q67" s="977" t="s">
        <v>428</v>
      </c>
      <c r="R67" s="978">
        <v>0</v>
      </c>
      <c r="S67" s="978">
        <v>0</v>
      </c>
      <c r="T67" s="978">
        <v>0</v>
      </c>
      <c r="U67" s="978">
        <v>0</v>
      </c>
      <c r="V67" s="978">
        <v>0</v>
      </c>
      <c r="W67" s="978">
        <v>0</v>
      </c>
      <c r="X67" s="966"/>
      <c r="Y67" s="966"/>
      <c r="Z67" s="966"/>
      <c r="AA67" s="974">
        <v>46023</v>
      </c>
      <c r="AB67" s="966">
        <v>46019</v>
      </c>
      <c r="AC67" s="974">
        <v>46387</v>
      </c>
      <c r="AD67" s="966">
        <v>46383</v>
      </c>
      <c r="AE67" s="966"/>
      <c r="AF67" s="966"/>
      <c r="AG67" s="965"/>
    </row>
    <row r="68" spans="1:33" ht="12.75">
      <c r="A68" s="19"/>
      <c r="B68" s="19"/>
      <c r="C68" s="24">
        <f aca="true" t="shared" si="12" ref="C68:H68">SUM(C63:C67)</f>
        <v>0</v>
      </c>
      <c r="D68" s="24">
        <f t="shared" si="12"/>
        <v>0</v>
      </c>
      <c r="E68" s="24">
        <f t="shared" si="12"/>
        <v>0</v>
      </c>
      <c r="F68" s="24">
        <f t="shared" si="12"/>
        <v>0</v>
      </c>
      <c r="G68" s="24">
        <f t="shared" si="12"/>
        <v>0</v>
      </c>
      <c r="H68" s="24">
        <f t="shared" si="12"/>
        <v>0</v>
      </c>
      <c r="J68" s="938">
        <v>623</v>
      </c>
      <c r="K68" s="938" t="s">
        <v>349</v>
      </c>
      <c r="L68" s="827"/>
      <c r="M68" s="825"/>
      <c r="N68" s="825"/>
      <c r="O68" s="966"/>
      <c r="P68" s="977"/>
      <c r="Q68" s="977" t="s">
        <v>429</v>
      </c>
      <c r="R68" s="978">
        <v>1673</v>
      </c>
      <c r="S68" s="978">
        <v>1807</v>
      </c>
      <c r="T68" s="978">
        <v>1952</v>
      </c>
      <c r="U68" s="978">
        <v>2108</v>
      </c>
      <c r="V68" s="978">
        <v>2277</v>
      </c>
      <c r="W68" s="978">
        <v>2459</v>
      </c>
      <c r="X68" s="966"/>
      <c r="Y68" s="966"/>
      <c r="Z68" s="966"/>
      <c r="AA68" s="974">
        <v>46388</v>
      </c>
      <c r="AB68" s="966">
        <v>46384</v>
      </c>
      <c r="AC68" s="974">
        <v>46752</v>
      </c>
      <c r="AD68" s="966">
        <v>46748</v>
      </c>
      <c r="AE68" s="966"/>
      <c r="AF68" s="966"/>
      <c r="AG68" s="965"/>
    </row>
    <row r="69" spans="1:33" ht="12.75">
      <c r="A69" s="19"/>
      <c r="B69" s="26" t="s">
        <v>39</v>
      </c>
      <c r="C69" s="27"/>
      <c r="D69" s="27"/>
      <c r="E69" s="27"/>
      <c r="F69" s="27"/>
      <c r="G69" s="27"/>
      <c r="H69" s="27"/>
      <c r="J69" s="940">
        <f>IF($O$50=1,+J50,IF($O$50=2,+J51,IF($O$50=3,+J52,IF($O$50=4,+J53,IF($O$50=5,+J54,IF($O$50=6,+J55,IF($O$50=7,+J56,"0")))))))</f>
        <v>463</v>
      </c>
      <c r="K69" s="827"/>
      <c r="L69" s="827"/>
      <c r="M69" s="825"/>
      <c r="N69" s="825"/>
      <c r="O69" s="966"/>
      <c r="P69" s="977"/>
      <c r="Q69" s="977" t="s">
        <v>430</v>
      </c>
      <c r="R69" s="978">
        <v>1048</v>
      </c>
      <c r="S69" s="978">
        <v>1100</v>
      </c>
      <c r="T69" s="978">
        <v>1155</v>
      </c>
      <c r="U69" s="978">
        <v>1213</v>
      </c>
      <c r="V69" s="978">
        <v>1273</v>
      </c>
      <c r="W69" s="978">
        <v>1337</v>
      </c>
      <c r="X69" s="966"/>
      <c r="Y69" s="966"/>
      <c r="Z69" s="966"/>
      <c r="AA69" s="974">
        <v>46753</v>
      </c>
      <c r="AB69" s="966">
        <v>46749</v>
      </c>
      <c r="AC69" s="974">
        <v>47118</v>
      </c>
      <c r="AD69" s="966">
        <v>47113</v>
      </c>
      <c r="AE69" s="966"/>
      <c r="AF69" s="966"/>
      <c r="AG69" s="965"/>
    </row>
    <row r="70" spans="1:33" ht="12.75">
      <c r="A70" s="19"/>
      <c r="B70" s="26"/>
      <c r="C70" s="27"/>
      <c r="D70" s="28" t="s">
        <v>40</v>
      </c>
      <c r="E70" s="28" t="s">
        <v>41</v>
      </c>
      <c r="F70" s="28" t="s">
        <v>42</v>
      </c>
      <c r="G70" s="28" t="s">
        <v>43</v>
      </c>
      <c r="H70" s="28" t="s">
        <v>44</v>
      </c>
      <c r="J70" s="940" t="str">
        <f>IF($O$50=8,+J57,IF($O$50=9,+J58,IF($O$50=10,+J59,IF($O$50=11,+J60,IF($O$50=12,+J61,IF($O$50=13,+J62,IF($O$50=14,+J63,"0")))))))</f>
        <v>0</v>
      </c>
      <c r="K70" s="827"/>
      <c r="L70" s="827"/>
      <c r="M70" s="825"/>
      <c r="N70" s="825"/>
      <c r="O70" s="966"/>
      <c r="P70" s="977"/>
      <c r="Q70" s="977" t="s">
        <v>431</v>
      </c>
      <c r="R70" s="978">
        <v>1435</v>
      </c>
      <c r="S70" s="978">
        <v>1550</v>
      </c>
      <c r="T70" s="978">
        <v>1674</v>
      </c>
      <c r="U70" s="978">
        <v>1808</v>
      </c>
      <c r="V70" s="978">
        <v>1952</v>
      </c>
      <c r="W70" s="978">
        <v>2108</v>
      </c>
      <c r="X70" s="966"/>
      <c r="Y70" s="966"/>
      <c r="Z70" s="966"/>
      <c r="AA70" s="974">
        <v>47119</v>
      </c>
      <c r="AB70" s="966">
        <v>47114</v>
      </c>
      <c r="AC70" s="974">
        <v>47483</v>
      </c>
      <c r="AD70" s="966">
        <v>47478</v>
      </c>
      <c r="AE70" s="966"/>
      <c r="AF70" s="966"/>
      <c r="AG70" s="965"/>
    </row>
    <row r="71" spans="1:33" ht="12.75">
      <c r="A71" s="19"/>
      <c r="B71" s="29" t="s">
        <v>45</v>
      </c>
      <c r="C71" s="29" t="s">
        <v>17</v>
      </c>
      <c r="D71" s="30">
        <f>+C63</f>
        <v>0</v>
      </c>
      <c r="E71" s="30">
        <f>+C64</f>
        <v>0</v>
      </c>
      <c r="F71" s="30">
        <f>+C65</f>
        <v>0</v>
      </c>
      <c r="G71" s="30">
        <f>+C66</f>
        <v>0</v>
      </c>
      <c r="H71" s="30">
        <f>+C67</f>
        <v>0</v>
      </c>
      <c r="J71" s="940" t="str">
        <f>IF($O$50=15,+J64,IF($O$50=16,+J65,IF($O$50=17,+J66,IF($O$50=18,+J67,IF($O$50=19,J68,"0")))))</f>
        <v>0</v>
      </c>
      <c r="K71" s="827"/>
      <c r="L71" s="827"/>
      <c r="M71" s="825"/>
      <c r="N71" s="825"/>
      <c r="O71" s="967"/>
      <c r="P71" s="977"/>
      <c r="Q71" s="977" t="s">
        <v>432</v>
      </c>
      <c r="R71" s="978">
        <v>0</v>
      </c>
      <c r="S71" s="978">
        <v>0</v>
      </c>
      <c r="T71" s="978">
        <v>0</v>
      </c>
      <c r="U71" s="978">
        <v>0</v>
      </c>
      <c r="V71" s="978">
        <v>0</v>
      </c>
      <c r="W71" s="978">
        <v>0</v>
      </c>
      <c r="X71" s="966"/>
      <c r="Y71" s="966"/>
      <c r="Z71" s="966"/>
      <c r="AA71" s="974">
        <v>47484</v>
      </c>
      <c r="AB71" s="966">
        <v>47479</v>
      </c>
      <c r="AC71" s="974">
        <v>47848</v>
      </c>
      <c r="AD71" s="966">
        <v>47843</v>
      </c>
      <c r="AE71" s="966"/>
      <c r="AF71" s="966"/>
      <c r="AG71" s="965"/>
    </row>
    <row r="72" spans="1:33" ht="12.75">
      <c r="A72" s="19"/>
      <c r="B72" s="29"/>
      <c r="C72" s="29" t="s">
        <v>18</v>
      </c>
      <c r="D72" s="30">
        <f>+C63+D63</f>
        <v>0</v>
      </c>
      <c r="E72" s="30">
        <f>+C64+D64</f>
        <v>0</v>
      </c>
      <c r="F72" s="30">
        <f>+C65+D65</f>
        <v>0</v>
      </c>
      <c r="G72" s="30">
        <f>+C66+D66</f>
        <v>0</v>
      </c>
      <c r="H72" s="30">
        <f>+C67+D67</f>
        <v>0</v>
      </c>
      <c r="J72" s="827"/>
      <c r="K72" s="827"/>
      <c r="L72" s="827"/>
      <c r="M72" s="958"/>
      <c r="N72" s="827"/>
      <c r="O72" s="967"/>
      <c r="P72" s="977"/>
      <c r="Q72" s="977" t="s">
        <v>349</v>
      </c>
      <c r="R72" s="978">
        <v>1016</v>
      </c>
      <c r="S72" s="978">
        <v>1098</v>
      </c>
      <c r="T72" s="978">
        <v>1185</v>
      </c>
      <c r="U72" s="978">
        <v>1280</v>
      </c>
      <c r="V72" s="978">
        <v>1383</v>
      </c>
      <c r="W72" s="978">
        <v>1493</v>
      </c>
      <c r="X72" s="966"/>
      <c r="Y72" s="966"/>
      <c r="Z72" s="966"/>
      <c r="AA72" s="966"/>
      <c r="AB72" s="966"/>
      <c r="AC72" s="966"/>
      <c r="AD72" s="966"/>
      <c r="AE72" s="966"/>
      <c r="AF72" s="966"/>
      <c r="AG72" s="965"/>
    </row>
    <row r="73" spans="1:33" ht="12.75">
      <c r="A73" s="19"/>
      <c r="B73" s="29"/>
      <c r="C73" s="29" t="s">
        <v>19</v>
      </c>
      <c r="D73" s="30">
        <f>+C63+D63+E63</f>
        <v>0</v>
      </c>
      <c r="E73" s="30">
        <f>+C64+D64+E64</f>
        <v>0</v>
      </c>
      <c r="F73" s="30">
        <f>+C65+D65+E65</f>
        <v>0</v>
      </c>
      <c r="G73" s="30">
        <f>+C66+D66+E66</f>
        <v>0</v>
      </c>
      <c r="H73" s="30">
        <f>+C67+D67+E67</f>
        <v>0</v>
      </c>
      <c r="J73" s="827"/>
      <c r="K73" s="827"/>
      <c r="L73" s="827"/>
      <c r="M73" s="958"/>
      <c r="N73" s="827"/>
      <c r="O73" s="967"/>
      <c r="P73" s="977"/>
      <c r="Q73" s="977" t="s">
        <v>433</v>
      </c>
      <c r="R73" s="978">
        <v>600</v>
      </c>
      <c r="S73" s="978">
        <v>648</v>
      </c>
      <c r="T73" s="978">
        <v>700</v>
      </c>
      <c r="U73" s="978">
        <v>756</v>
      </c>
      <c r="V73" s="978">
        <v>817</v>
      </c>
      <c r="W73" s="978">
        <v>882</v>
      </c>
      <c r="X73" s="966"/>
      <c r="Y73" s="966"/>
      <c r="Z73" s="966"/>
      <c r="AA73" s="966"/>
      <c r="AB73" s="966"/>
      <c r="AC73" s="966"/>
      <c r="AD73" s="966"/>
      <c r="AE73" s="966"/>
      <c r="AF73" s="966"/>
      <c r="AG73" s="965"/>
    </row>
    <row r="74" spans="1:33" ht="12.75">
      <c r="A74" s="19"/>
      <c r="B74" s="29"/>
      <c r="C74" s="29" t="s">
        <v>20</v>
      </c>
      <c r="D74" s="30">
        <f>+C63+D63+E63+F63</f>
        <v>0</v>
      </c>
      <c r="E74" s="30">
        <f>+C64+D64+E64+F64</f>
        <v>0</v>
      </c>
      <c r="F74" s="30">
        <f>+C65+D65+E65+F65</f>
        <v>0</v>
      </c>
      <c r="G74" s="30">
        <f>+C66+D66+E66+F66</f>
        <v>0</v>
      </c>
      <c r="H74" s="30">
        <f>+C67+D67+E67+F67</f>
        <v>0</v>
      </c>
      <c r="J74" s="827"/>
      <c r="K74" s="827"/>
      <c r="L74" s="827"/>
      <c r="M74" s="958"/>
      <c r="N74" s="827"/>
      <c r="O74" s="967"/>
      <c r="P74" s="977"/>
      <c r="Q74" s="977" t="s">
        <v>434</v>
      </c>
      <c r="R74" s="978">
        <v>1016</v>
      </c>
      <c r="S74" s="978">
        <v>1098</v>
      </c>
      <c r="T74" s="978">
        <v>1185</v>
      </c>
      <c r="U74" s="978">
        <v>1280</v>
      </c>
      <c r="V74" s="978">
        <v>1383</v>
      </c>
      <c r="W74" s="978">
        <v>1493</v>
      </c>
      <c r="X74" s="966"/>
      <c r="Y74" s="966"/>
      <c r="Z74" s="966"/>
      <c r="AA74" s="966"/>
      <c r="AB74" s="966"/>
      <c r="AC74" s="966"/>
      <c r="AD74" s="966"/>
      <c r="AE74" s="966"/>
      <c r="AF74" s="966"/>
      <c r="AG74" s="965"/>
    </row>
    <row r="75" spans="1:33" ht="12.75">
      <c r="A75" s="19"/>
      <c r="B75" s="29"/>
      <c r="C75" s="29" t="s">
        <v>21</v>
      </c>
      <c r="D75" s="30">
        <f>+G63+F63+E63+D63+C63</f>
        <v>0</v>
      </c>
      <c r="E75" s="30">
        <f>+G64+F64+E64+D64+C64</f>
        <v>0</v>
      </c>
      <c r="F75" s="30">
        <f>+G65+F65+E65+D65+C65</f>
        <v>0</v>
      </c>
      <c r="G75" s="30">
        <f>+G66+F66+E66+D66+C66</f>
        <v>0</v>
      </c>
      <c r="H75" s="30">
        <f>+G67+F67+E67+D67+C67</f>
        <v>0</v>
      </c>
      <c r="J75" s="827"/>
      <c r="K75" s="827"/>
      <c r="L75" s="827"/>
      <c r="M75" s="958"/>
      <c r="N75" s="827"/>
      <c r="O75" s="967"/>
      <c r="P75" s="970"/>
      <c r="Q75" s="970"/>
      <c r="R75" s="970"/>
      <c r="S75" s="970"/>
      <c r="T75" s="970"/>
      <c r="U75" s="970"/>
      <c r="V75" s="970"/>
      <c r="W75" s="970"/>
      <c r="X75" s="966"/>
      <c r="Y75" s="966"/>
      <c r="Z75" s="966"/>
      <c r="AA75" s="966"/>
      <c r="AB75" s="966"/>
      <c r="AC75" s="966"/>
      <c r="AD75" s="966"/>
      <c r="AE75" s="966"/>
      <c r="AF75" s="966"/>
      <c r="AG75" s="968"/>
    </row>
    <row r="76" spans="1:33" ht="12.75">
      <c r="A76" s="19"/>
      <c r="B76" s="29"/>
      <c r="C76" s="29"/>
      <c r="D76" s="29"/>
      <c r="E76" s="29"/>
      <c r="F76" s="29"/>
      <c r="G76" s="29"/>
      <c r="H76" s="29"/>
      <c r="J76" s="827"/>
      <c r="K76" s="827"/>
      <c r="L76" s="827"/>
      <c r="M76" s="958"/>
      <c r="N76" s="827"/>
      <c r="O76" s="967"/>
      <c r="P76" s="970"/>
      <c r="Q76" s="970"/>
      <c r="R76" s="970"/>
      <c r="S76" s="970"/>
      <c r="T76" s="970"/>
      <c r="U76" s="970"/>
      <c r="V76" s="970"/>
      <c r="W76" s="970"/>
      <c r="X76" s="966"/>
      <c r="Y76" s="966"/>
      <c r="Z76" s="966"/>
      <c r="AA76" s="966"/>
      <c r="AB76" s="966"/>
      <c r="AC76" s="966"/>
      <c r="AD76" s="966"/>
      <c r="AE76" s="966"/>
      <c r="AF76" s="966"/>
      <c r="AG76" s="968"/>
    </row>
    <row r="77" spans="1:33" ht="12.75">
      <c r="A77" s="19"/>
      <c r="B77" s="29" t="s">
        <v>339</v>
      </c>
      <c r="C77" s="29" t="s">
        <v>17</v>
      </c>
      <c r="D77" s="30">
        <f>IF(C50&gt;=25000,25000,+C50)</f>
        <v>0</v>
      </c>
      <c r="E77" s="30">
        <f>IF(C52&gt;=25000,25000,+C52)</f>
        <v>0</v>
      </c>
      <c r="F77" s="30">
        <f>IF(C54&gt;=25000,25000,+C54)</f>
        <v>0</v>
      </c>
      <c r="G77" s="30">
        <f>IF(C56&gt;=25000,25000,+C56)</f>
        <v>0</v>
      </c>
      <c r="H77" s="30">
        <f>IF(C58&gt;=25000,25000,+C58)</f>
        <v>0</v>
      </c>
      <c r="I77" s="15"/>
      <c r="J77" s="827"/>
      <c r="K77" s="827"/>
      <c r="L77" s="941"/>
      <c r="M77" s="959"/>
      <c r="N77" s="941"/>
      <c r="O77" s="967"/>
      <c r="P77" s="970"/>
      <c r="Q77" s="970"/>
      <c r="R77" s="970"/>
      <c r="S77" s="970"/>
      <c r="T77" s="970"/>
      <c r="U77" s="970"/>
      <c r="V77" s="970"/>
      <c r="W77" s="970"/>
      <c r="X77" s="966"/>
      <c r="Y77" s="966"/>
      <c r="Z77" s="966"/>
      <c r="AA77" s="966"/>
      <c r="AB77" s="966"/>
      <c r="AC77" s="966"/>
      <c r="AD77" s="966"/>
      <c r="AE77" s="966"/>
      <c r="AF77" s="966"/>
      <c r="AG77" s="968"/>
    </row>
    <row r="78" spans="1:33" ht="12.75">
      <c r="A78" s="19"/>
      <c r="B78" s="29" t="s">
        <v>47</v>
      </c>
      <c r="C78" s="29" t="s">
        <v>18</v>
      </c>
      <c r="D78" s="30">
        <f>IF(D77&gt;=25000,0,IF((C50+D50)&lt;25000,+D50,((D50+25000-(C50+D50)))))</f>
        <v>0</v>
      </c>
      <c r="E78" s="30">
        <f>IF(E77&gt;=25000,0,IF((C52+D52)&lt;25000,+D52,((D52+25000-(C52+D52)))))</f>
        <v>0</v>
      </c>
      <c r="F78" s="30">
        <f>IF(F77&gt;=25000,0,IF((C54+D54)&lt;25000,+D54,((D54+25000-(C54+D54)))))</f>
        <v>0</v>
      </c>
      <c r="G78" s="30">
        <f>IF(G77&gt;=25000,0,IF((C56+D56)&lt;25000,+D56,((D56+25000-(C56+D56)))))</f>
        <v>0</v>
      </c>
      <c r="H78" s="30">
        <f>IF(H77&gt;=25000,0,IF((C58+D58)&lt;25000,+D58,((D58+25000-(C58+D58)))))</f>
        <v>0</v>
      </c>
      <c r="I78" s="15"/>
      <c r="J78" s="827"/>
      <c r="K78" s="941"/>
      <c r="L78" s="941"/>
      <c r="M78" s="959"/>
      <c r="N78" s="941"/>
      <c r="O78" s="967"/>
      <c r="P78" s="970"/>
      <c r="Q78" s="970"/>
      <c r="R78" s="966"/>
      <c r="S78" s="970"/>
      <c r="T78" s="970"/>
      <c r="U78" s="970"/>
      <c r="V78" s="970"/>
      <c r="W78" s="970"/>
      <c r="X78" s="966"/>
      <c r="Y78" s="966"/>
      <c r="Z78" s="966"/>
      <c r="AA78" s="966"/>
      <c r="AB78" s="966"/>
      <c r="AC78" s="966"/>
      <c r="AD78" s="966"/>
      <c r="AE78" s="966"/>
      <c r="AF78" s="966"/>
      <c r="AG78" s="968"/>
    </row>
    <row r="79" spans="1:33" ht="12.75">
      <c r="A79" s="19"/>
      <c r="B79" s="29" t="s">
        <v>337</v>
      </c>
      <c r="C79" s="29" t="s">
        <v>19</v>
      </c>
      <c r="D79" s="30">
        <f>IF((D77+D78)&gt;=25000,0,IF((C50+D50+E50)&lt;25000,E50,((E50+25000-(C50+D50+E50)))))</f>
        <v>0</v>
      </c>
      <c r="E79" s="30">
        <f>IF((E77+E78)&gt;=25000,0,IF((C52+D52+E52)&lt;25000,E52,((E52+25000-(C52+D52+E52)))))</f>
        <v>0</v>
      </c>
      <c r="F79" s="30">
        <f>IF((F77+F78)&gt;=25000,0,IF((C54+D54+E54)&lt;25000,E54,((E54+25000-(C54+D54+E54)))))</f>
        <v>0</v>
      </c>
      <c r="G79" s="30">
        <f>IF((G77+G78)&gt;=25000,0,IF((C56+D56+E56)&lt;25000,E56,((E56+25000-(C56+D56+E56)))))</f>
        <v>0</v>
      </c>
      <c r="H79" s="30">
        <f>IF((H77+H78)&gt;=25000,0,IF((C58+D58+E58)&lt;25000,E58,((E58+25000-(C58+D58+E58)))))</f>
        <v>0</v>
      </c>
      <c r="I79" s="15"/>
      <c r="J79" s="941"/>
      <c r="K79" s="941"/>
      <c r="L79" s="941"/>
      <c r="M79" s="959"/>
      <c r="N79" s="941"/>
      <c r="O79" s="967"/>
      <c r="P79" s="980"/>
      <c r="Q79" s="981"/>
      <c r="R79" s="971" t="s">
        <v>435</v>
      </c>
      <c r="S79" s="982"/>
      <c r="T79" s="982"/>
      <c r="U79" s="982"/>
      <c r="V79" s="982"/>
      <c r="W79" s="982"/>
      <c r="X79" s="966"/>
      <c r="Y79" s="966"/>
      <c r="Z79" s="966"/>
      <c r="AA79" s="966"/>
      <c r="AB79" s="966"/>
      <c r="AC79" s="966"/>
      <c r="AD79" s="966"/>
      <c r="AE79" s="966"/>
      <c r="AF79" s="966"/>
      <c r="AG79" s="968"/>
    </row>
    <row r="80" spans="1:33" ht="22.5">
      <c r="A80" s="19"/>
      <c r="B80" s="29"/>
      <c r="C80" s="29" t="s">
        <v>20</v>
      </c>
      <c r="D80" s="30">
        <f>IF((D77+D78+D79)&gt;=25000,0,IF((C50+D50+E50+F50)&lt;25000,F50,((F50+25000-(C50+D50+E50+F50)))))</f>
        <v>0</v>
      </c>
      <c r="E80" s="30">
        <f>IF((E77+E78+E79)&gt;=25000,0,IF((C52+D52+E52+F52)&lt;25000,F52,((F52+25000-(C52+D52+E52+F52)))))</f>
        <v>0</v>
      </c>
      <c r="F80" s="30">
        <f>IF((F77+F78+F79)&gt;=25000,0,IF((C54+D54+E54+F54)&lt;25000,F54,((F54+25000-(C54+D54+E54+F54)))))</f>
        <v>0</v>
      </c>
      <c r="G80" s="30">
        <f>IF((G77+G78+G79)&gt;=25000,0,IF((C56+D56+E56+F56)&lt;25000,F56,((F56+25000-(C56+D56+E56+F56)))))</f>
        <v>0</v>
      </c>
      <c r="H80" s="30">
        <f>IF((H77+H78+H79)&gt;=25000,0,IF((C58+D58+E58+F58)&lt;25000,F58,((F58+25000-(C58+D58+E58+F58)))))</f>
        <v>0</v>
      </c>
      <c r="I80" s="15"/>
      <c r="J80" s="941"/>
      <c r="K80" s="941"/>
      <c r="L80" s="941"/>
      <c r="M80" s="959"/>
      <c r="N80" s="941"/>
      <c r="O80" s="967"/>
      <c r="P80" s="992" t="s">
        <v>419</v>
      </c>
      <c r="Q80" s="992"/>
      <c r="R80" s="976" t="s">
        <v>420</v>
      </c>
      <c r="S80" s="976" t="s">
        <v>421</v>
      </c>
      <c r="T80" s="976" t="s">
        <v>449</v>
      </c>
      <c r="U80" s="976" t="s">
        <v>451</v>
      </c>
      <c r="V80" s="976" t="s">
        <v>453</v>
      </c>
      <c r="W80" s="976" t="s">
        <v>466</v>
      </c>
      <c r="X80" s="966"/>
      <c r="Y80" s="966"/>
      <c r="Z80" s="966"/>
      <c r="AA80" s="966"/>
      <c r="AB80" s="966"/>
      <c r="AC80" s="966"/>
      <c r="AD80" s="966"/>
      <c r="AE80" s="966"/>
      <c r="AF80" s="966"/>
      <c r="AG80" s="968"/>
    </row>
    <row r="81" spans="1:33" ht="12.75">
      <c r="A81" s="19"/>
      <c r="B81" s="29"/>
      <c r="C81" s="29" t="s">
        <v>21</v>
      </c>
      <c r="D81" s="30">
        <f>IF((D77+D78+D79+D80)&gt;=25000,0,IF((C50+D50+E50+F50+G50)&lt;25000,G50,((G50+25000-(C50+D50+E50+F50+G50)))))</f>
        <v>0</v>
      </c>
      <c r="E81" s="30">
        <f>IF((E77+E78+E79+E80)&gt;=25000,0,IF((C52+D52+E52+F52+G52)&lt;25000,G52,((G52+25000-(C52+D52+E52+F52+G52)))))</f>
        <v>0</v>
      </c>
      <c r="F81" s="30">
        <f>IF((F77+F78+F79+F80)&gt;=25000,0,IF((C54+D54+E54+F54+G54)&lt;25000,G54,((G54+25000-(C54+D54+E54+F54+G54)))))</f>
        <v>0</v>
      </c>
      <c r="G81" s="30">
        <f>IF((G77+G78+G79+G80)&gt;=25000,0,IF((C56+D56+E56+F56+G56)&lt;25000,G56,((G56+25000-(C56+D56+E56+F56+G56)))))</f>
        <v>0</v>
      </c>
      <c r="H81" s="30">
        <f>IF((H77+H78+H79+H80)&gt;=25000,0,IF((C58+D58+E58+F58+G58)&lt;25000,G58,((G58+25000-(C58+D58+E58+F58+G58)))))</f>
        <v>0</v>
      </c>
      <c r="I81" s="15"/>
      <c r="J81" s="941"/>
      <c r="K81" s="941"/>
      <c r="L81" s="941"/>
      <c r="M81" s="959"/>
      <c r="N81" s="941"/>
      <c r="O81" s="967"/>
      <c r="P81" s="977"/>
      <c r="Q81" s="977" t="s">
        <v>6</v>
      </c>
      <c r="R81" s="978">
        <v>963</v>
      </c>
      <c r="S81" s="978">
        <v>1049</v>
      </c>
      <c r="T81" s="978">
        <v>1144</v>
      </c>
      <c r="U81" s="978">
        <v>1246</v>
      </c>
      <c r="V81" s="978">
        <v>1359</v>
      </c>
      <c r="W81" s="978">
        <v>1481</v>
      </c>
      <c r="X81" s="966"/>
      <c r="Y81" s="966"/>
      <c r="Z81" s="966"/>
      <c r="AA81" s="966"/>
      <c r="AB81" s="966"/>
      <c r="AC81" s="966"/>
      <c r="AD81" s="966"/>
      <c r="AE81" s="966"/>
      <c r="AF81" s="966"/>
      <c r="AG81" s="968"/>
    </row>
    <row r="82" spans="1:33" ht="12.75">
      <c r="A82" s="19"/>
      <c r="B82" s="29"/>
      <c r="C82" s="29"/>
      <c r="D82" s="29"/>
      <c r="E82" s="29"/>
      <c r="F82" s="29"/>
      <c r="G82" s="29"/>
      <c r="H82" s="29"/>
      <c r="I82" s="15"/>
      <c r="J82" s="941"/>
      <c r="K82" s="941"/>
      <c r="L82" s="941"/>
      <c r="M82" s="959"/>
      <c r="N82" s="941"/>
      <c r="O82" s="967"/>
      <c r="P82" s="977"/>
      <c r="Q82" s="977" t="s">
        <v>8</v>
      </c>
      <c r="R82" s="978">
        <v>988</v>
      </c>
      <c r="S82" s="978">
        <v>1077</v>
      </c>
      <c r="T82" s="978">
        <v>1174</v>
      </c>
      <c r="U82" s="978">
        <v>1279</v>
      </c>
      <c r="V82" s="978">
        <v>1395</v>
      </c>
      <c r="W82" s="978">
        <v>1520</v>
      </c>
      <c r="X82" s="966"/>
      <c r="Y82" s="966"/>
      <c r="Z82" s="966"/>
      <c r="AA82" s="966"/>
      <c r="AB82" s="966"/>
      <c r="AC82" s="966"/>
      <c r="AD82" s="966"/>
      <c r="AE82" s="966"/>
      <c r="AF82" s="966"/>
      <c r="AG82" s="968"/>
    </row>
    <row r="83" spans="1:33" ht="12.75">
      <c r="A83" s="19"/>
      <c r="B83" s="29" t="s">
        <v>46</v>
      </c>
      <c r="C83" s="29" t="s">
        <v>17</v>
      </c>
      <c r="D83" s="30">
        <f>IF(D71&gt;=25000,25000,+D71)</f>
        <v>0</v>
      </c>
      <c r="E83" s="30">
        <f>IF(E71&gt;=25000,25000,+E71)</f>
        <v>0</v>
      </c>
      <c r="F83" s="30">
        <f>IF(F71&gt;=25000,25000,+F71)</f>
        <v>0</v>
      </c>
      <c r="G83" s="30">
        <f>IF(G71&gt;=25000,25000,+G71)</f>
        <v>0</v>
      </c>
      <c r="H83" s="30">
        <f>IF(H71&gt;=25000,25000,+H71)</f>
        <v>0</v>
      </c>
      <c r="I83" s="15"/>
      <c r="J83" s="941"/>
      <c r="K83" s="941"/>
      <c r="L83" s="941"/>
      <c r="M83" s="959"/>
      <c r="N83" s="941"/>
      <c r="O83" s="967"/>
      <c r="P83" s="977"/>
      <c r="Q83" s="977" t="s">
        <v>422</v>
      </c>
      <c r="R83" s="978">
        <v>988</v>
      </c>
      <c r="S83" s="978">
        <v>1077</v>
      </c>
      <c r="T83" s="978">
        <v>1174</v>
      </c>
      <c r="U83" s="978">
        <v>1279</v>
      </c>
      <c r="V83" s="978">
        <v>1395</v>
      </c>
      <c r="W83" s="978">
        <v>1520</v>
      </c>
      <c r="X83" s="966"/>
      <c r="Y83" s="966"/>
      <c r="Z83" s="966"/>
      <c r="AA83" s="966"/>
      <c r="AB83" s="966"/>
      <c r="AC83" s="966"/>
      <c r="AD83" s="966"/>
      <c r="AE83" s="966"/>
      <c r="AF83" s="966"/>
      <c r="AG83" s="968"/>
    </row>
    <row r="84" spans="1:33" ht="12.75">
      <c r="A84" s="19"/>
      <c r="B84" s="29" t="s">
        <v>47</v>
      </c>
      <c r="C84" s="29" t="s">
        <v>18</v>
      </c>
      <c r="D84" s="30">
        <f>IF(D83&gt;=25000,0,IF(D72&lt;25000,+D63,((D63+25000-(C63+D63)))))</f>
        <v>0</v>
      </c>
      <c r="E84" s="30">
        <f>IF(E83&gt;=25000,0,IF(E72&lt;25000,+D64,((D64+25000-(C64+D64)))))</f>
        <v>0</v>
      </c>
      <c r="F84" s="30">
        <f>IF(F83&gt;=25000,0,IF(F72&lt;25000,+D65,((D65+25000-(C65+D65)))))</f>
        <v>0</v>
      </c>
      <c r="G84" s="30">
        <f>IF(G83&gt;=25000,0,IF(G72&lt;25000,+D66,((D66+25000-(C66+D66)))))</f>
        <v>0</v>
      </c>
      <c r="H84" s="30">
        <f>IF(H83&gt;=25000,0,IF(H72&lt;25000,+D67,((D67+25000-(C67+D67)))))</f>
        <v>0</v>
      </c>
      <c r="I84" s="15"/>
      <c r="J84" s="941"/>
      <c r="K84" s="941"/>
      <c r="L84" s="941"/>
      <c r="M84" s="959"/>
      <c r="N84" s="941"/>
      <c r="O84" s="967"/>
      <c r="P84" s="977"/>
      <c r="Q84" s="977" t="s">
        <v>9</v>
      </c>
      <c r="R84" s="978">
        <v>988</v>
      </c>
      <c r="S84" s="978">
        <v>1077</v>
      </c>
      <c r="T84" s="978">
        <v>1174</v>
      </c>
      <c r="U84" s="978">
        <v>1279</v>
      </c>
      <c r="V84" s="978">
        <v>1395</v>
      </c>
      <c r="W84" s="978">
        <v>1520</v>
      </c>
      <c r="X84" s="966"/>
      <c r="Y84" s="966"/>
      <c r="Z84" s="966"/>
      <c r="AA84" s="966"/>
      <c r="AB84" s="966"/>
      <c r="AC84" s="966"/>
      <c r="AD84" s="966"/>
      <c r="AE84" s="966"/>
      <c r="AF84" s="966"/>
      <c r="AG84" s="968"/>
    </row>
    <row r="85" spans="1:33" ht="12.75">
      <c r="A85" s="19"/>
      <c r="B85" s="29"/>
      <c r="C85" s="29" t="s">
        <v>19</v>
      </c>
      <c r="D85" s="30">
        <f>IF((D83+D84)&gt;=25000,0,IF(D73&lt;25000,E63,((E63+25000-(C63+D63+E63)))))</f>
        <v>0</v>
      </c>
      <c r="E85" s="30">
        <f>IF((E83+E84)&gt;=25000,0,IF(E73&lt;25000,E64,((E64+25000-(C64+D64+E64)))))</f>
        <v>0</v>
      </c>
      <c r="F85" s="30">
        <f>IF((F83+F84)&gt;=25000,0,IF(F73&lt;25000,E65,((E65+25000-(C65+D65+E65)))))</f>
        <v>0</v>
      </c>
      <c r="G85" s="30">
        <f>IF((G83+G84)&gt;=25000,0,IF(G73&lt;25000,E66,((E66+25000-(C66+D66+E66)))))</f>
        <v>0</v>
      </c>
      <c r="H85" s="30">
        <f>IF((H83+H84)&gt;=25000,0,IF(H73&lt;25000,E67,((E67+25000-(C67+D67+E67)))))</f>
        <v>0</v>
      </c>
      <c r="I85" s="15"/>
      <c r="J85" s="941"/>
      <c r="K85" s="941"/>
      <c r="L85" s="941"/>
      <c r="M85" s="959"/>
      <c r="N85" s="941"/>
      <c r="O85" s="967"/>
      <c r="P85" s="977"/>
      <c r="Q85" s="977" t="s">
        <v>423</v>
      </c>
      <c r="R85" s="978">
        <v>988</v>
      </c>
      <c r="S85" s="978">
        <v>1077</v>
      </c>
      <c r="T85" s="978">
        <v>1174</v>
      </c>
      <c r="U85" s="978">
        <v>1279</v>
      </c>
      <c r="V85" s="978">
        <v>1395</v>
      </c>
      <c r="W85" s="978">
        <v>1520</v>
      </c>
      <c r="X85" s="966"/>
      <c r="Y85" s="966"/>
      <c r="Z85" s="966"/>
      <c r="AA85" s="966"/>
      <c r="AB85" s="966"/>
      <c r="AC85" s="966"/>
      <c r="AD85" s="966"/>
      <c r="AE85" s="966"/>
      <c r="AF85" s="966"/>
      <c r="AG85" s="968"/>
    </row>
    <row r="86" spans="1:33" ht="12.75">
      <c r="A86" s="19"/>
      <c r="B86" s="29"/>
      <c r="C86" s="29" t="s">
        <v>20</v>
      </c>
      <c r="D86" s="30">
        <f>IF((D83+D84+D85)&gt;=25000,0,IF(D74&lt;25000,F63,((F63+25000-(C63+D63+E63+F63)))))</f>
        <v>0</v>
      </c>
      <c r="E86" s="30">
        <f>IF((E83+E84+E85)&gt;=25000,0,IF(E74&lt;25000,F64,((F64+25000-(C64+D64+E64+F64)))))</f>
        <v>0</v>
      </c>
      <c r="F86" s="30">
        <f>IF((F83+F84+F85)&gt;=25000,0,IF(F74&lt;25000,F65,((F65+25000-(C65+D65+E65+F65)))))</f>
        <v>0</v>
      </c>
      <c r="G86" s="30">
        <f>IF((G83+G84+G85)&gt;=25000,0,IF(G74&lt;25000,F66,((F66+25000-(C66+D66+E66+F66)))))</f>
        <v>0</v>
      </c>
      <c r="H86" s="30">
        <f>IF((H83+H84+H85)&gt;=25000,0,IF(H74&lt;25000,F67,((F67+25000-(C67+D67+E67+F67)))))</f>
        <v>0</v>
      </c>
      <c r="I86" s="15"/>
      <c r="J86" s="941"/>
      <c r="K86" s="941"/>
      <c r="L86" s="941"/>
      <c r="M86" s="959"/>
      <c r="N86" s="941"/>
      <c r="O86" s="967"/>
      <c r="P86" s="977"/>
      <c r="Q86" s="977" t="s">
        <v>255</v>
      </c>
      <c r="R86" s="978">
        <v>988</v>
      </c>
      <c r="S86" s="978">
        <v>1077</v>
      </c>
      <c r="T86" s="978">
        <v>1174</v>
      </c>
      <c r="U86" s="978">
        <v>1279</v>
      </c>
      <c r="V86" s="978">
        <v>1395</v>
      </c>
      <c r="W86" s="978">
        <v>1520</v>
      </c>
      <c r="X86" s="966"/>
      <c r="Y86" s="966"/>
      <c r="Z86" s="966"/>
      <c r="AA86" s="966"/>
      <c r="AB86" s="966"/>
      <c r="AC86" s="966"/>
      <c r="AD86" s="966"/>
      <c r="AE86" s="966"/>
      <c r="AF86" s="966"/>
      <c r="AG86" s="968"/>
    </row>
    <row r="87" spans="1:33" ht="12.75">
      <c r="A87" s="19"/>
      <c r="B87" s="29"/>
      <c r="C87" s="29" t="s">
        <v>21</v>
      </c>
      <c r="D87" s="30">
        <f>IF((D83+D84+D85+D86)&gt;=25000,0,IF(D75&lt;25000,G63,((G63+25000-(C63+D63+E63+F63+G63)))))</f>
        <v>0</v>
      </c>
      <c r="E87" s="30">
        <f>IF((E83+E84+E85+E86)&gt;=25000,0,IF(E75&lt;25000,G64,((G64+25000-(C64+D64+E64+F64+G64)))))</f>
        <v>0</v>
      </c>
      <c r="F87" s="30">
        <f>IF((F83+F84+F85+F86)&gt;=25000,0,IF(F75&lt;25000,G65,((G65+25000-(C65+D65+E65+F65+G65)))))</f>
        <v>0</v>
      </c>
      <c r="G87" s="30">
        <f>IF((G83+G84+G85+G86)&gt;=25000,0,IF(G75&lt;25000,G66,((G66+25000-(C66+D66+E66+F66+G66)))))</f>
        <v>0</v>
      </c>
      <c r="H87" s="30">
        <f>IF((H83+H84+H85+H86)&gt;=25000,0,IF(H75&lt;25000,G67,((G67+25000-(C67+D67+E67+F67+G67)))))</f>
        <v>0</v>
      </c>
      <c r="I87" s="15"/>
      <c r="J87" s="941"/>
      <c r="K87" s="941"/>
      <c r="L87" s="941"/>
      <c r="M87" s="959"/>
      <c r="N87" s="941"/>
      <c r="O87" s="967"/>
      <c r="P87" s="977"/>
      <c r="Q87" s="977" t="s">
        <v>424</v>
      </c>
      <c r="R87" s="978">
        <v>988</v>
      </c>
      <c r="S87" s="978">
        <v>1077</v>
      </c>
      <c r="T87" s="978">
        <v>1174</v>
      </c>
      <c r="U87" s="978">
        <v>1279</v>
      </c>
      <c r="V87" s="978">
        <v>1395</v>
      </c>
      <c r="W87" s="978">
        <v>1520</v>
      </c>
      <c r="X87" s="966"/>
      <c r="Y87" s="966"/>
      <c r="Z87" s="966"/>
      <c r="AA87" s="966"/>
      <c r="AB87" s="966"/>
      <c r="AC87" s="966"/>
      <c r="AD87" s="966"/>
      <c r="AE87" s="966"/>
      <c r="AF87" s="966"/>
      <c r="AG87" s="968"/>
    </row>
    <row r="88" spans="1:33" ht="12.75">
      <c r="A88" s="19"/>
      <c r="B88" s="29"/>
      <c r="C88" s="29"/>
      <c r="D88" s="29"/>
      <c r="E88" s="29"/>
      <c r="F88" s="29"/>
      <c r="G88" s="29"/>
      <c r="H88" s="29"/>
      <c r="I88" s="15"/>
      <c r="J88" s="941"/>
      <c r="K88" s="941"/>
      <c r="L88" s="941"/>
      <c r="M88" s="959"/>
      <c r="N88" s="941"/>
      <c r="O88" s="967"/>
      <c r="P88" s="977"/>
      <c r="Q88" s="977" t="s">
        <v>425</v>
      </c>
      <c r="R88" s="978">
        <v>988</v>
      </c>
      <c r="S88" s="978">
        <v>1077</v>
      </c>
      <c r="T88" s="978">
        <v>1174</v>
      </c>
      <c r="U88" s="978">
        <v>1279</v>
      </c>
      <c r="V88" s="978">
        <v>1395</v>
      </c>
      <c r="W88" s="978">
        <v>1520</v>
      </c>
      <c r="X88" s="966"/>
      <c r="Y88" s="966"/>
      <c r="Z88" s="966"/>
      <c r="AA88" s="966"/>
      <c r="AB88" s="966"/>
      <c r="AC88" s="966"/>
      <c r="AD88" s="966"/>
      <c r="AE88" s="966"/>
      <c r="AF88" s="966"/>
      <c r="AG88" s="968"/>
    </row>
    <row r="89" spans="1:33" ht="12.75">
      <c r="A89" s="19"/>
      <c r="B89" s="29" t="s">
        <v>339</v>
      </c>
      <c r="C89" s="29"/>
      <c r="D89" s="31" t="s">
        <v>17</v>
      </c>
      <c r="E89" s="31" t="s">
        <v>18</v>
      </c>
      <c r="F89" s="31" t="s">
        <v>19</v>
      </c>
      <c r="G89" s="31" t="s">
        <v>20</v>
      </c>
      <c r="H89" s="31" t="s">
        <v>21</v>
      </c>
      <c r="I89" s="15"/>
      <c r="J89" s="941"/>
      <c r="K89" s="941"/>
      <c r="L89" s="941"/>
      <c r="M89" s="959"/>
      <c r="N89" s="941"/>
      <c r="O89" s="967"/>
      <c r="P89" s="977"/>
      <c r="Q89" s="977" t="s">
        <v>13</v>
      </c>
      <c r="R89" s="978">
        <v>988</v>
      </c>
      <c r="S89" s="978">
        <v>1077</v>
      </c>
      <c r="T89" s="978">
        <v>1174</v>
      </c>
      <c r="U89" s="978">
        <v>1279</v>
      </c>
      <c r="V89" s="978">
        <v>1395</v>
      </c>
      <c r="W89" s="978">
        <v>1520</v>
      </c>
      <c r="X89" s="966"/>
      <c r="Y89" s="966"/>
      <c r="Z89" s="966"/>
      <c r="AA89" s="966"/>
      <c r="AB89" s="966"/>
      <c r="AC89" s="966"/>
      <c r="AD89" s="966"/>
      <c r="AE89" s="966"/>
      <c r="AF89" s="966"/>
      <c r="AG89" s="968"/>
    </row>
    <row r="90" spans="1:33" ht="12.75">
      <c r="A90" s="19"/>
      <c r="B90" s="29" t="s">
        <v>337</v>
      </c>
      <c r="C90" s="29"/>
      <c r="D90" s="30">
        <f>+D77+E77+F77+G77+H77</f>
        <v>0</v>
      </c>
      <c r="E90" s="30">
        <f>+D78+E78+F78+G78+H78</f>
        <v>0</v>
      </c>
      <c r="F90" s="30">
        <f>+D79+E79+F79+G79+H79</f>
        <v>0</v>
      </c>
      <c r="G90" s="30">
        <f>+D80+E80+F80+G80+H80</f>
        <v>0</v>
      </c>
      <c r="H90" s="30">
        <f>+D81+E81+F81+G81+H81</f>
        <v>0</v>
      </c>
      <c r="I90" s="15"/>
      <c r="J90" s="941"/>
      <c r="K90" s="941"/>
      <c r="L90" s="941"/>
      <c r="M90" s="959"/>
      <c r="N90" s="941"/>
      <c r="O90" s="967"/>
      <c r="P90" s="977"/>
      <c r="Q90" s="977" t="s">
        <v>16</v>
      </c>
      <c r="R90" s="978">
        <v>988</v>
      </c>
      <c r="S90" s="978">
        <v>1077</v>
      </c>
      <c r="T90" s="978">
        <v>1174</v>
      </c>
      <c r="U90" s="978">
        <v>1279</v>
      </c>
      <c r="V90" s="978">
        <v>1395</v>
      </c>
      <c r="W90" s="978">
        <v>1520</v>
      </c>
      <c r="X90" s="966"/>
      <c r="Y90" s="966"/>
      <c r="Z90" s="966"/>
      <c r="AA90" s="966"/>
      <c r="AB90" s="966"/>
      <c r="AC90" s="966"/>
      <c r="AD90" s="966"/>
      <c r="AE90" s="966"/>
      <c r="AF90" s="966"/>
      <c r="AG90" s="968"/>
    </row>
    <row r="91" spans="1:33" ht="12.75">
      <c r="A91" s="15"/>
      <c r="B91" s="15"/>
      <c r="C91" s="15"/>
      <c r="D91" s="15"/>
      <c r="E91" s="15"/>
      <c r="F91" s="15"/>
      <c r="G91" s="15"/>
      <c r="H91" s="15"/>
      <c r="I91" s="15"/>
      <c r="J91" s="941"/>
      <c r="K91" s="941"/>
      <c r="L91" s="941"/>
      <c r="M91" s="959"/>
      <c r="N91" s="941"/>
      <c r="O91" s="967"/>
      <c r="P91" s="977"/>
      <c r="Q91" s="977" t="s">
        <v>14</v>
      </c>
      <c r="R91" s="978">
        <v>988</v>
      </c>
      <c r="S91" s="978">
        <v>1077</v>
      </c>
      <c r="T91" s="978">
        <v>1174</v>
      </c>
      <c r="U91" s="978">
        <v>1279</v>
      </c>
      <c r="V91" s="978">
        <v>1395</v>
      </c>
      <c r="W91" s="978">
        <v>1520</v>
      </c>
      <c r="X91" s="966"/>
      <c r="Y91" s="966"/>
      <c r="Z91" s="966"/>
      <c r="AA91" s="966"/>
      <c r="AB91" s="966"/>
      <c r="AC91" s="966"/>
      <c r="AD91" s="966"/>
      <c r="AE91" s="966"/>
      <c r="AF91" s="966"/>
      <c r="AG91" s="968"/>
    </row>
    <row r="92" spans="1:33" ht="12.75">
      <c r="A92" s="15"/>
      <c r="B92" s="29" t="s">
        <v>46</v>
      </c>
      <c r="C92" s="15"/>
      <c r="D92" s="31" t="s">
        <v>17</v>
      </c>
      <c r="E92" s="31" t="s">
        <v>18</v>
      </c>
      <c r="F92" s="31" t="s">
        <v>19</v>
      </c>
      <c r="G92" s="31" t="s">
        <v>20</v>
      </c>
      <c r="H92" s="31" t="s">
        <v>21</v>
      </c>
      <c r="I92" s="15"/>
      <c r="J92" s="941"/>
      <c r="K92" s="941"/>
      <c r="L92" s="941"/>
      <c r="M92" s="959"/>
      <c r="N92" s="941"/>
      <c r="O92" s="967"/>
      <c r="P92" s="977"/>
      <c r="Q92" s="977"/>
      <c r="R92" s="979"/>
      <c r="S92" s="979"/>
      <c r="T92" s="979"/>
      <c r="U92" s="979"/>
      <c r="V92" s="979"/>
      <c r="W92" s="979"/>
      <c r="X92" s="966"/>
      <c r="Y92" s="966"/>
      <c r="Z92" s="966"/>
      <c r="AA92" s="966"/>
      <c r="AB92" s="966"/>
      <c r="AC92" s="966"/>
      <c r="AD92" s="966"/>
      <c r="AE92" s="966"/>
      <c r="AF92" s="966"/>
      <c r="AG92" s="968"/>
    </row>
    <row r="93" spans="1:33" ht="12.75">
      <c r="A93" s="15"/>
      <c r="B93" s="29" t="s">
        <v>338</v>
      </c>
      <c r="C93" s="15"/>
      <c r="D93" s="30">
        <f>SUM(D83,E83,F83,G83,H83)</f>
        <v>0</v>
      </c>
      <c r="E93" s="30">
        <f>SUM(D84:H84)</f>
        <v>0</v>
      </c>
      <c r="F93" s="30">
        <f>SUM(D85:H85)</f>
        <v>0</v>
      </c>
      <c r="G93" s="30">
        <f>SUM(D86:H86)</f>
        <v>0</v>
      </c>
      <c r="H93" s="30">
        <f>SUM(D87:H87)</f>
        <v>0</v>
      </c>
      <c r="I93" s="15"/>
      <c r="J93" s="941"/>
      <c r="K93" s="941"/>
      <c r="L93" s="941"/>
      <c r="M93" s="959"/>
      <c r="N93" s="941"/>
      <c r="O93" s="967"/>
      <c r="P93" s="991" t="s">
        <v>426</v>
      </c>
      <c r="Q93" s="991"/>
      <c r="R93" s="979"/>
      <c r="S93" s="979"/>
      <c r="T93" s="979"/>
      <c r="U93" s="979"/>
      <c r="V93" s="979"/>
      <c r="W93" s="979"/>
      <c r="X93" s="966"/>
      <c r="Y93" s="966"/>
      <c r="Z93" s="966"/>
      <c r="AA93" s="966"/>
      <c r="AB93" s="966"/>
      <c r="AC93" s="966"/>
      <c r="AD93" s="966"/>
      <c r="AE93" s="966"/>
      <c r="AF93" s="966"/>
      <c r="AG93" s="968"/>
    </row>
    <row r="94" spans="1:33" ht="12.75">
      <c r="A94" s="15"/>
      <c r="B94" s="15"/>
      <c r="C94" s="15"/>
      <c r="D94" s="15"/>
      <c r="E94" s="15"/>
      <c r="F94" s="15"/>
      <c r="G94" s="15"/>
      <c r="H94" s="15"/>
      <c r="I94" s="15"/>
      <c r="J94" s="941"/>
      <c r="K94" s="941"/>
      <c r="L94" s="941"/>
      <c r="M94" s="959"/>
      <c r="N94" s="941"/>
      <c r="O94" s="967"/>
      <c r="P94" s="977"/>
      <c r="Q94" s="977" t="s">
        <v>427</v>
      </c>
      <c r="R94" s="978">
        <v>1778</v>
      </c>
      <c r="S94" s="978">
        <v>1938</v>
      </c>
      <c r="T94" s="978">
        <v>2112</v>
      </c>
      <c r="U94" s="978">
        <v>2303</v>
      </c>
      <c r="V94" s="978">
        <v>2510</v>
      </c>
      <c r="W94" s="978">
        <v>2736</v>
      </c>
      <c r="X94" s="966"/>
      <c r="Y94" s="966"/>
      <c r="Z94" s="966"/>
      <c r="AA94" s="966"/>
      <c r="AB94" s="966"/>
      <c r="AC94" s="966"/>
      <c r="AD94" s="966"/>
      <c r="AE94" s="966"/>
      <c r="AF94" s="966"/>
      <c r="AG94" s="968"/>
    </row>
    <row r="95" spans="1:33" ht="12.75">
      <c r="A95" s="15"/>
      <c r="B95" s="15"/>
      <c r="C95" s="15"/>
      <c r="D95" s="15"/>
      <c r="E95" s="15"/>
      <c r="F95" s="15"/>
      <c r="G95" s="32"/>
      <c r="H95" s="15"/>
      <c r="I95" s="15"/>
      <c r="J95" s="941"/>
      <c r="K95" s="941"/>
      <c r="L95" s="941"/>
      <c r="M95" s="959"/>
      <c r="N95" s="941"/>
      <c r="O95" s="967"/>
      <c r="P95" s="977"/>
      <c r="Q95" s="977" t="s">
        <v>428</v>
      </c>
      <c r="R95" s="978">
        <v>0</v>
      </c>
      <c r="S95" s="978">
        <v>0</v>
      </c>
      <c r="T95" s="978">
        <v>0</v>
      </c>
      <c r="U95" s="978">
        <v>0</v>
      </c>
      <c r="V95" s="978">
        <v>0</v>
      </c>
      <c r="W95" s="978">
        <v>0</v>
      </c>
      <c r="X95" s="966"/>
      <c r="Y95" s="966"/>
      <c r="Z95" s="966"/>
      <c r="AA95" s="966"/>
      <c r="AB95" s="966"/>
      <c r="AC95" s="966"/>
      <c r="AD95" s="966"/>
      <c r="AE95" s="966"/>
      <c r="AF95" s="966"/>
      <c r="AG95" s="968"/>
    </row>
    <row r="96" spans="1:33" ht="12.75">
      <c r="A96" s="15"/>
      <c r="B96" s="15"/>
      <c r="C96" s="15"/>
      <c r="D96" s="15"/>
      <c r="E96" s="15"/>
      <c r="F96" s="15"/>
      <c r="G96" s="15"/>
      <c r="H96" s="15"/>
      <c r="I96" s="15"/>
      <c r="J96" s="941"/>
      <c r="K96" s="941"/>
      <c r="L96" s="941"/>
      <c r="M96" s="959"/>
      <c r="N96" s="941"/>
      <c r="O96" s="967"/>
      <c r="P96" s="977"/>
      <c r="Q96" s="977" t="s">
        <v>429</v>
      </c>
      <c r="R96" s="978">
        <v>2715</v>
      </c>
      <c r="S96" s="978">
        <v>2851</v>
      </c>
      <c r="T96" s="978">
        <v>2993</v>
      </c>
      <c r="U96" s="978">
        <v>3143</v>
      </c>
      <c r="V96" s="978">
        <v>3300</v>
      </c>
      <c r="W96" s="978">
        <v>3465</v>
      </c>
      <c r="X96" s="966"/>
      <c r="Y96" s="966"/>
      <c r="Z96" s="966"/>
      <c r="AA96" s="966"/>
      <c r="AB96" s="966"/>
      <c r="AC96" s="966"/>
      <c r="AD96" s="966"/>
      <c r="AE96" s="966"/>
      <c r="AF96" s="966"/>
      <c r="AG96" s="968"/>
    </row>
    <row r="97" spans="1:33" ht="12.75">
      <c r="A97" s="15"/>
      <c r="B97" s="15"/>
      <c r="C97" s="15"/>
      <c r="D97" s="781"/>
      <c r="E97" s="781"/>
      <c r="F97" s="781"/>
      <c r="G97" s="781"/>
      <c r="H97" s="781"/>
      <c r="I97" s="15"/>
      <c r="J97" s="941"/>
      <c r="K97" s="941"/>
      <c r="L97" s="941"/>
      <c r="M97" s="959"/>
      <c r="N97" s="941"/>
      <c r="O97" s="967"/>
      <c r="P97" s="977"/>
      <c r="Q97" s="977" t="s">
        <v>430</v>
      </c>
      <c r="R97" s="978">
        <v>1947</v>
      </c>
      <c r="S97" s="978">
        <v>2044</v>
      </c>
      <c r="T97" s="978">
        <v>2147</v>
      </c>
      <c r="U97" s="978">
        <v>2254</v>
      </c>
      <c r="V97" s="978">
        <v>2367</v>
      </c>
      <c r="W97" s="978">
        <v>2485</v>
      </c>
      <c r="X97" s="966"/>
      <c r="Y97" s="966"/>
      <c r="Z97" s="966"/>
      <c r="AA97" s="966"/>
      <c r="AB97" s="966"/>
      <c r="AC97" s="966"/>
      <c r="AD97" s="966"/>
      <c r="AE97" s="966"/>
      <c r="AF97" s="966"/>
      <c r="AG97" s="968"/>
    </row>
    <row r="98" spans="1:33" ht="12.75">
      <c r="A98" s="15"/>
      <c r="B98" s="15"/>
      <c r="C98" s="15"/>
      <c r="D98" s="782"/>
      <c r="E98" s="782"/>
      <c r="F98" s="782"/>
      <c r="G98" s="782"/>
      <c r="H98" s="782"/>
      <c r="I98" s="15"/>
      <c r="J98" s="941"/>
      <c r="K98" s="941"/>
      <c r="L98" s="941"/>
      <c r="M98" s="959"/>
      <c r="N98" s="941"/>
      <c r="O98" s="967"/>
      <c r="P98" s="977"/>
      <c r="Q98" s="977" t="s">
        <v>431</v>
      </c>
      <c r="R98" s="978">
        <v>2623</v>
      </c>
      <c r="S98" s="978">
        <v>2754</v>
      </c>
      <c r="T98" s="978">
        <v>2892</v>
      </c>
      <c r="U98" s="978">
        <v>3036</v>
      </c>
      <c r="V98" s="978">
        <v>3188</v>
      </c>
      <c r="W98" s="978">
        <v>3348</v>
      </c>
      <c r="X98" s="966"/>
      <c r="Y98" s="966"/>
      <c r="Z98" s="966"/>
      <c r="AA98" s="966"/>
      <c r="AB98" s="966"/>
      <c r="AC98" s="966"/>
      <c r="AD98" s="966"/>
      <c r="AE98" s="966"/>
      <c r="AF98" s="966"/>
      <c r="AG98" s="968"/>
    </row>
    <row r="99" spans="1:33" ht="12.75">
      <c r="A99" s="15"/>
      <c r="B99" s="15"/>
      <c r="C99" s="15"/>
      <c r="D99" s="782"/>
      <c r="E99" s="782"/>
      <c r="F99" s="782"/>
      <c r="G99" s="782"/>
      <c r="H99" s="782"/>
      <c r="I99" s="15"/>
      <c r="J99" s="941"/>
      <c r="K99" s="941"/>
      <c r="L99" s="941"/>
      <c r="M99" s="959"/>
      <c r="N99" s="941"/>
      <c r="O99" s="967"/>
      <c r="P99" s="977"/>
      <c r="Q99" s="977" t="s">
        <v>432</v>
      </c>
      <c r="R99" s="978">
        <v>0</v>
      </c>
      <c r="S99" s="978">
        <v>0</v>
      </c>
      <c r="T99" s="978">
        <v>0</v>
      </c>
      <c r="U99" s="978">
        <v>0</v>
      </c>
      <c r="V99" s="978">
        <v>0</v>
      </c>
      <c r="W99" s="978">
        <v>0</v>
      </c>
      <c r="X99" s="966"/>
      <c r="Y99" s="966"/>
      <c r="Z99" s="966"/>
      <c r="AA99" s="966"/>
      <c r="AB99" s="966"/>
      <c r="AC99" s="966"/>
      <c r="AD99" s="966"/>
      <c r="AE99" s="966"/>
      <c r="AF99" s="966"/>
      <c r="AG99" s="968"/>
    </row>
    <row r="100" spans="4:33" ht="12.75">
      <c r="D100" s="782"/>
      <c r="E100" s="782"/>
      <c r="F100" s="782"/>
      <c r="G100" s="782"/>
      <c r="H100" s="782"/>
      <c r="I100" s="15"/>
      <c r="J100" s="941"/>
      <c r="K100" s="941"/>
      <c r="L100" s="941"/>
      <c r="M100" s="959"/>
      <c r="N100" s="941"/>
      <c r="O100" s="967"/>
      <c r="P100" s="977"/>
      <c r="Q100" s="977" t="s">
        <v>349</v>
      </c>
      <c r="R100" s="978">
        <v>1705</v>
      </c>
      <c r="S100" s="978">
        <v>1858</v>
      </c>
      <c r="T100" s="978">
        <v>2026</v>
      </c>
      <c r="U100" s="978">
        <v>2208</v>
      </c>
      <c r="V100" s="978">
        <v>2407</v>
      </c>
      <c r="W100" s="978">
        <v>2623</v>
      </c>
      <c r="X100" s="966"/>
      <c r="Y100" s="966"/>
      <c r="Z100" s="966"/>
      <c r="AA100" s="966"/>
      <c r="AB100" s="966"/>
      <c r="AC100" s="966"/>
      <c r="AD100" s="966"/>
      <c r="AE100" s="966"/>
      <c r="AF100" s="966"/>
      <c r="AG100" s="968"/>
    </row>
    <row r="101" spans="4:33" ht="12.75">
      <c r="D101" s="782"/>
      <c r="E101" s="782"/>
      <c r="F101" s="782"/>
      <c r="G101" s="782"/>
      <c r="H101" s="782"/>
      <c r="I101" s="15"/>
      <c r="J101" s="941"/>
      <c r="K101" s="941"/>
      <c r="L101" s="941"/>
      <c r="M101" s="959"/>
      <c r="N101" s="941"/>
      <c r="O101" s="967"/>
      <c r="P101" s="977"/>
      <c r="Q101" s="977" t="s">
        <v>433</v>
      </c>
      <c r="R101" s="978">
        <v>1016</v>
      </c>
      <c r="S101" s="978">
        <v>1107</v>
      </c>
      <c r="T101" s="978">
        <v>1207</v>
      </c>
      <c r="U101" s="978">
        <v>1316</v>
      </c>
      <c r="V101" s="978">
        <v>1434</v>
      </c>
      <c r="W101" s="978">
        <v>1563</v>
      </c>
      <c r="X101" s="966"/>
      <c r="Y101" s="966"/>
      <c r="Z101" s="966"/>
      <c r="AA101" s="966"/>
      <c r="AB101" s="966"/>
      <c r="AC101" s="966"/>
      <c r="AD101" s="966"/>
      <c r="AE101" s="966"/>
      <c r="AF101" s="966"/>
      <c r="AG101" s="968"/>
    </row>
    <row r="102" spans="7:33" ht="12.75">
      <c r="G102" s="15"/>
      <c r="H102" s="15"/>
      <c r="I102" s="15"/>
      <c r="J102" s="941"/>
      <c r="K102" s="941"/>
      <c r="L102" s="941"/>
      <c r="M102" s="959"/>
      <c r="N102" s="941"/>
      <c r="O102" s="967"/>
      <c r="P102" s="977"/>
      <c r="Q102" s="977" t="s">
        <v>434</v>
      </c>
      <c r="R102" s="978">
        <v>1787</v>
      </c>
      <c r="S102" s="978">
        <v>1948</v>
      </c>
      <c r="T102" s="978">
        <v>2123</v>
      </c>
      <c r="U102" s="978">
        <v>2314</v>
      </c>
      <c r="V102" s="978">
        <v>2522</v>
      </c>
      <c r="W102" s="978">
        <v>2750</v>
      </c>
      <c r="X102" s="966"/>
      <c r="Y102" s="966"/>
      <c r="Z102" s="966"/>
      <c r="AA102" s="966"/>
      <c r="AB102" s="966"/>
      <c r="AC102" s="966"/>
      <c r="AD102" s="966"/>
      <c r="AE102" s="966"/>
      <c r="AF102" s="966"/>
      <c r="AG102" s="968"/>
    </row>
    <row r="103" spans="7:33" ht="12.75">
      <c r="G103" s="15"/>
      <c r="H103" s="15"/>
      <c r="I103" s="15"/>
      <c r="J103" s="941"/>
      <c r="K103" s="941"/>
      <c r="L103" s="941"/>
      <c r="M103" s="959"/>
      <c r="N103" s="941"/>
      <c r="O103" s="967"/>
      <c r="P103" s="983"/>
      <c r="Q103" s="983"/>
      <c r="R103" s="983"/>
      <c r="S103" s="983"/>
      <c r="T103" s="983"/>
      <c r="U103" s="983"/>
      <c r="V103" s="983"/>
      <c r="W103" s="983"/>
      <c r="X103" s="966"/>
      <c r="Y103" s="966"/>
      <c r="Z103" s="966"/>
      <c r="AA103" s="966"/>
      <c r="AB103" s="966"/>
      <c r="AC103" s="966"/>
      <c r="AD103" s="966"/>
      <c r="AE103" s="966"/>
      <c r="AF103" s="966"/>
      <c r="AG103" s="968"/>
    </row>
    <row r="104" spans="7:33" ht="12.75">
      <c r="G104" s="15"/>
      <c r="H104" s="15"/>
      <c r="I104" s="15"/>
      <c r="J104" s="947"/>
      <c r="K104" s="947"/>
      <c r="L104" s="947"/>
      <c r="M104" s="959"/>
      <c r="N104" s="941"/>
      <c r="O104" s="967"/>
      <c r="P104" s="983"/>
      <c r="Q104" s="983"/>
      <c r="R104" s="983"/>
      <c r="S104" s="983"/>
      <c r="T104" s="983"/>
      <c r="U104" s="983"/>
      <c r="V104" s="983"/>
      <c r="W104" s="983"/>
      <c r="X104" s="966"/>
      <c r="Y104" s="966"/>
      <c r="Z104" s="966"/>
      <c r="AA104" s="966"/>
      <c r="AB104" s="966"/>
      <c r="AC104" s="966"/>
      <c r="AD104" s="966"/>
      <c r="AE104" s="966"/>
      <c r="AF104" s="966"/>
      <c r="AG104" s="968"/>
    </row>
    <row r="105" spans="7:33" ht="12.75">
      <c r="G105" s="15"/>
      <c r="H105" s="15"/>
      <c r="I105" s="15"/>
      <c r="J105" s="947"/>
      <c r="K105" s="947"/>
      <c r="L105" s="947"/>
      <c r="M105" s="959"/>
      <c r="N105" s="941"/>
      <c r="O105" s="967"/>
      <c r="P105" s="966"/>
      <c r="Q105" s="966"/>
      <c r="R105" s="966"/>
      <c r="S105" s="966"/>
      <c r="T105" s="966"/>
      <c r="U105" s="966"/>
      <c r="V105" s="966"/>
      <c r="W105" s="966"/>
      <c r="X105" s="966"/>
      <c r="Y105" s="966"/>
      <c r="Z105" s="966"/>
      <c r="AA105" s="966"/>
      <c r="AB105" s="966"/>
      <c r="AC105" s="966"/>
      <c r="AD105" s="966"/>
      <c r="AE105" s="966"/>
      <c r="AF105" s="966"/>
      <c r="AG105" s="968"/>
    </row>
    <row r="106" spans="7:33" ht="12.75">
      <c r="G106" s="15"/>
      <c r="H106" s="15"/>
      <c r="I106" s="15"/>
      <c r="J106" s="947"/>
      <c r="K106" s="947"/>
      <c r="L106" s="947"/>
      <c r="M106" s="947"/>
      <c r="N106" s="947"/>
      <c r="O106" s="967"/>
      <c r="P106" s="966"/>
      <c r="Q106" s="966"/>
      <c r="R106" s="966"/>
      <c r="S106" s="966"/>
      <c r="T106" s="966"/>
      <c r="U106" s="966"/>
      <c r="V106" s="966"/>
      <c r="W106" s="966"/>
      <c r="X106" s="966"/>
      <c r="Y106" s="966"/>
      <c r="Z106" s="966"/>
      <c r="AA106" s="966"/>
      <c r="AB106" s="966"/>
      <c r="AC106" s="966"/>
      <c r="AD106" s="966"/>
      <c r="AE106" s="966"/>
      <c r="AF106" s="966"/>
      <c r="AG106" s="968"/>
    </row>
    <row r="107" spans="7:33" ht="12.75">
      <c r="G107" s="15"/>
      <c r="H107" s="15"/>
      <c r="I107" s="15"/>
      <c r="J107" s="15"/>
      <c r="K107" s="15"/>
      <c r="L107" s="15"/>
      <c r="M107" s="15"/>
      <c r="N107" s="15"/>
      <c r="O107" s="967"/>
      <c r="P107" s="966"/>
      <c r="Q107" s="966"/>
      <c r="R107" s="966"/>
      <c r="S107" s="966"/>
      <c r="T107" s="966"/>
      <c r="U107" s="966"/>
      <c r="V107" s="966"/>
      <c r="W107" s="966"/>
      <c r="X107" s="966"/>
      <c r="Y107" s="966"/>
      <c r="Z107" s="966"/>
      <c r="AA107" s="966"/>
      <c r="AB107" s="966"/>
      <c r="AC107" s="966"/>
      <c r="AD107" s="966"/>
      <c r="AE107" s="966"/>
      <c r="AF107" s="966"/>
      <c r="AG107" s="968"/>
    </row>
    <row r="108" spans="7:33" ht="12.75">
      <c r="G108" s="15"/>
      <c r="H108" s="15"/>
      <c r="I108" s="15"/>
      <c r="J108" s="15"/>
      <c r="K108" s="15"/>
      <c r="L108" s="15"/>
      <c r="M108" s="15"/>
      <c r="N108" s="15"/>
      <c r="O108" s="967"/>
      <c r="P108" s="966"/>
      <c r="Q108" s="966"/>
      <c r="R108" s="966"/>
      <c r="S108" s="966"/>
      <c r="T108" s="966"/>
      <c r="U108" s="966"/>
      <c r="V108" s="966"/>
      <c r="W108" s="966"/>
      <c r="X108" s="966"/>
      <c r="Y108" s="966"/>
      <c r="Z108" s="966"/>
      <c r="AA108" s="966"/>
      <c r="AB108" s="966"/>
      <c r="AC108" s="966"/>
      <c r="AD108" s="966"/>
      <c r="AE108" s="966"/>
      <c r="AF108" s="966"/>
      <c r="AG108" s="968"/>
    </row>
    <row r="109" spans="7:33" ht="12.75">
      <c r="G109" s="15"/>
      <c r="H109" s="15"/>
      <c r="I109" s="15"/>
      <c r="J109" s="15"/>
      <c r="K109" s="15"/>
      <c r="L109" s="15"/>
      <c r="M109" s="15"/>
      <c r="N109" s="15"/>
      <c r="O109" s="967"/>
      <c r="P109" s="966"/>
      <c r="Q109" s="966"/>
      <c r="R109" s="966"/>
      <c r="S109" s="966"/>
      <c r="T109" s="966"/>
      <c r="U109" s="966"/>
      <c r="V109" s="966"/>
      <c r="W109" s="966"/>
      <c r="X109" s="966"/>
      <c r="Y109" s="966"/>
      <c r="Z109" s="966"/>
      <c r="AA109" s="966"/>
      <c r="AB109" s="966"/>
      <c r="AC109" s="966"/>
      <c r="AD109" s="966"/>
      <c r="AE109" s="966"/>
      <c r="AF109" s="966"/>
      <c r="AG109" s="968"/>
    </row>
    <row r="110" spans="10:33" ht="12.75">
      <c r="J110" s="15"/>
      <c r="K110" s="15"/>
      <c r="O110" s="966"/>
      <c r="P110" s="966"/>
      <c r="Q110" s="966"/>
      <c r="R110" s="966"/>
      <c r="S110" s="966"/>
      <c r="T110" s="966"/>
      <c r="U110" s="966"/>
      <c r="V110" s="966"/>
      <c r="W110" s="966"/>
      <c r="X110" s="966"/>
      <c r="Y110" s="966"/>
      <c r="Z110" s="966"/>
      <c r="AA110" s="966"/>
      <c r="AB110" s="966"/>
      <c r="AC110" s="966"/>
      <c r="AD110" s="966"/>
      <c r="AE110" s="966"/>
      <c r="AF110" s="966"/>
      <c r="AG110" s="968"/>
    </row>
    <row r="111" spans="10:33" ht="12.75">
      <c r="J111" s="15"/>
      <c r="O111" s="966"/>
      <c r="P111" s="966"/>
      <c r="Q111" s="966"/>
      <c r="R111" s="966"/>
      <c r="S111" s="966"/>
      <c r="T111" s="966"/>
      <c r="U111" s="966"/>
      <c r="V111" s="966"/>
      <c r="W111" s="966"/>
      <c r="X111" s="966"/>
      <c r="Y111" s="966"/>
      <c r="Z111" s="966"/>
      <c r="AA111" s="966"/>
      <c r="AB111" s="966"/>
      <c r="AC111" s="966"/>
      <c r="AD111" s="966"/>
      <c r="AE111" s="966"/>
      <c r="AF111" s="966"/>
      <c r="AG111" s="968"/>
    </row>
    <row r="112" spans="15:33" ht="12.75">
      <c r="O112" s="968"/>
      <c r="P112" s="965"/>
      <c r="Q112" s="965"/>
      <c r="R112" s="965"/>
      <c r="S112" s="965"/>
      <c r="T112" s="965"/>
      <c r="U112" s="965"/>
      <c r="V112" s="965"/>
      <c r="W112" s="965"/>
      <c r="X112" s="965"/>
      <c r="Y112" s="965"/>
      <c r="Z112" s="965"/>
      <c r="AA112" s="965"/>
      <c r="AB112" s="965"/>
      <c r="AC112" s="965"/>
      <c r="AD112" s="965"/>
      <c r="AE112" s="965"/>
      <c r="AF112" s="968"/>
      <c r="AG112" s="968"/>
    </row>
    <row r="113" spans="16:31" ht="12.75">
      <c r="P113" s="825"/>
      <c r="Q113" s="825"/>
      <c r="R113" s="825"/>
      <c r="S113" s="825"/>
      <c r="T113" s="825"/>
      <c r="U113" s="825"/>
      <c r="V113" s="825"/>
      <c r="W113" s="825"/>
      <c r="X113" s="825"/>
      <c r="Y113" s="825"/>
      <c r="Z113" s="825"/>
      <c r="AA113" s="825"/>
      <c r="AB113" s="825"/>
      <c r="AC113" s="825"/>
      <c r="AD113" s="825"/>
      <c r="AE113" s="825"/>
    </row>
    <row r="114" spans="16:31" ht="12.75">
      <c r="P114" s="825"/>
      <c r="Q114" s="825"/>
      <c r="R114" s="825"/>
      <c r="S114" s="825"/>
      <c r="T114" s="825"/>
      <c r="U114" s="825"/>
      <c r="V114" s="825"/>
      <c r="W114" s="825"/>
      <c r="X114" s="825"/>
      <c r="Y114" s="825"/>
      <c r="Z114" s="825"/>
      <c r="AA114" s="825"/>
      <c r="AB114" s="825"/>
      <c r="AC114" s="825"/>
      <c r="AD114" s="825"/>
      <c r="AE114" s="825"/>
    </row>
    <row r="115" spans="16:31" ht="12.75">
      <c r="P115" s="825"/>
      <c r="Q115" s="825"/>
      <c r="R115" s="825"/>
      <c r="S115" s="825"/>
      <c r="T115" s="825"/>
      <c r="U115" s="825"/>
      <c r="V115" s="825"/>
      <c r="W115" s="825"/>
      <c r="X115" s="825"/>
      <c r="Y115" s="825"/>
      <c r="Z115" s="825"/>
      <c r="AA115" s="825"/>
      <c r="AB115" s="825"/>
      <c r="AC115" s="825"/>
      <c r="AD115" s="825"/>
      <c r="AE115" s="825"/>
    </row>
    <row r="116" spans="16:31" ht="12.75">
      <c r="P116" s="825"/>
      <c r="Q116" s="825"/>
      <c r="R116" s="825"/>
      <c r="S116" s="825"/>
      <c r="T116" s="825"/>
      <c r="U116" s="825"/>
      <c r="V116" s="825"/>
      <c r="W116" s="825"/>
      <c r="X116" s="825"/>
      <c r="Y116" s="825"/>
      <c r="Z116" s="825"/>
      <c r="AA116" s="825"/>
      <c r="AB116" s="825"/>
      <c r="AC116" s="825"/>
      <c r="AD116" s="825"/>
      <c r="AE116" s="825"/>
    </row>
    <row r="117" spans="16:31" ht="12.75">
      <c r="P117" s="825"/>
      <c r="Q117" s="825"/>
      <c r="R117" s="825"/>
      <c r="S117" s="825"/>
      <c r="T117" s="825"/>
      <c r="U117" s="825"/>
      <c r="V117" s="825"/>
      <c r="W117" s="825"/>
      <c r="X117" s="825"/>
      <c r="Y117" s="825"/>
      <c r="Z117" s="825"/>
      <c r="AA117" s="825"/>
      <c r="AB117" s="825"/>
      <c r="AC117" s="825"/>
      <c r="AD117" s="825"/>
      <c r="AE117" s="825"/>
    </row>
    <row r="118" spans="16:31" ht="12.75">
      <c r="P118" s="825"/>
      <c r="Q118" s="825"/>
      <c r="R118" s="825"/>
      <c r="S118" s="825"/>
      <c r="T118" s="825"/>
      <c r="U118" s="825"/>
      <c r="V118" s="825"/>
      <c r="W118" s="825"/>
      <c r="X118" s="825"/>
      <c r="Y118" s="825"/>
      <c r="Z118" s="825"/>
      <c r="AA118" s="825"/>
      <c r="AB118" s="825"/>
      <c r="AC118" s="825"/>
      <c r="AD118" s="825"/>
      <c r="AE118" s="825"/>
    </row>
    <row r="119" spans="16:31" ht="12.75">
      <c r="P119" s="825"/>
      <c r="Q119" s="825"/>
      <c r="R119" s="825"/>
      <c r="S119" s="825"/>
      <c r="T119" s="825"/>
      <c r="U119" s="825"/>
      <c r="V119" s="825"/>
      <c r="W119" s="825"/>
      <c r="X119" s="825"/>
      <c r="Y119" s="825"/>
      <c r="Z119" s="825"/>
      <c r="AA119" s="825"/>
      <c r="AB119" s="825"/>
      <c r="AC119" s="825"/>
      <c r="AD119" s="825"/>
      <c r="AE119" s="825"/>
    </row>
    <row r="120" spans="16:24" ht="12.75">
      <c r="P120" s="825"/>
      <c r="Q120" s="825"/>
      <c r="R120" s="825"/>
      <c r="S120" s="825"/>
      <c r="T120" s="825"/>
      <c r="U120" s="825"/>
      <c r="V120" s="825"/>
      <c r="W120" s="825"/>
      <c r="X120" s="825"/>
    </row>
    <row r="121" spans="16:24" ht="12.75">
      <c r="P121" s="825"/>
      <c r="Q121" s="825"/>
      <c r="R121" s="825"/>
      <c r="S121" s="825"/>
      <c r="T121" s="825"/>
      <c r="U121" s="825"/>
      <c r="V121" s="825"/>
      <c r="W121" s="825"/>
      <c r="X121" s="825"/>
    </row>
    <row r="122" spans="16:24" ht="12.75">
      <c r="P122" s="825"/>
      <c r="Q122" s="825"/>
      <c r="R122" s="825"/>
      <c r="S122" s="825"/>
      <c r="T122" s="825"/>
      <c r="U122" s="825"/>
      <c r="V122" s="825"/>
      <c r="W122" s="825"/>
      <c r="X122" s="825"/>
    </row>
  </sheetData>
  <sheetProtection sheet="1"/>
  <mergeCells count="4">
    <mergeCell ref="A1:J1"/>
    <mergeCell ref="P65:Q65"/>
    <mergeCell ref="P80:Q80"/>
    <mergeCell ref="P93:Q93"/>
  </mergeCells>
  <printOptions/>
  <pageMargins left="0" right="0" top="0.5" bottom="0" header="0.5" footer="0.5"/>
  <pageSetup fitToHeight="2" horizontalDpi="600" verticalDpi="600" orientation="landscape" scale="56" r:id="rId2"/>
  <rowBreaks count="1" manualBreakCount="1">
    <brk id="47" max="30" man="1"/>
  </rowBreak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H129"/>
  <sheetViews>
    <sheetView showGridLines="0" showZeros="0" zoomScale="75" zoomScaleNormal="75" zoomScalePageLayoutView="0" workbookViewId="0" topLeftCell="A4">
      <selection activeCell="I14" sqref="I14"/>
    </sheetView>
  </sheetViews>
  <sheetFormatPr defaultColWidth="7.140625" defaultRowHeight="12.75"/>
  <cols>
    <col min="1" max="2" width="19.28125" style="95" customWidth="1"/>
    <col min="3" max="3" width="15.00390625" style="95" customWidth="1"/>
    <col min="4" max="6" width="8.421875" style="95" customWidth="1"/>
    <col min="7" max="9" width="14.28125" style="95" customWidth="1"/>
    <col min="10" max="10" width="17.00390625" style="95" customWidth="1"/>
    <col min="11" max="179" width="7.140625" style="95" customWidth="1"/>
    <col min="180" max="16384" width="7.140625" style="95" customWidth="1"/>
  </cols>
  <sheetData>
    <row r="1" spans="1:2" ht="15" customHeight="1">
      <c r="A1" s="1095" t="s">
        <v>50</v>
      </c>
      <c r="B1" s="181"/>
    </row>
    <row r="2" spans="1:2" ht="6" customHeight="1">
      <c r="A2" s="1096"/>
      <c r="B2" s="181"/>
    </row>
    <row r="3" spans="1:164" ht="13.5" customHeight="1">
      <c r="A3" s="1096"/>
      <c r="B3" s="48" t="s">
        <v>363</v>
      </c>
      <c r="D3" s="94"/>
      <c r="E3" s="102"/>
      <c r="F3" s="102"/>
      <c r="G3" s="101">
        <f>+FacePage!$B$14</f>
        <v>0</v>
      </c>
      <c r="H3" s="102"/>
      <c r="I3" s="102"/>
      <c r="J3" s="102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</row>
    <row r="4" spans="1:10" ht="3" customHeight="1">
      <c r="A4" s="153"/>
      <c r="B4" s="186"/>
      <c r="C4" s="186"/>
      <c r="D4" s="186"/>
      <c r="E4" s="186"/>
      <c r="F4" s="164"/>
      <c r="G4" s="102"/>
      <c r="I4" s="186"/>
      <c r="J4" s="186"/>
    </row>
    <row r="5" spans="1:10" ht="3" customHeight="1">
      <c r="A5" s="101"/>
      <c r="B5" s="102"/>
      <c r="C5" s="102"/>
      <c r="D5" s="102"/>
      <c r="E5" s="102"/>
      <c r="F5" s="102"/>
      <c r="G5" s="184"/>
      <c r="H5" s="214"/>
      <c r="I5" s="215"/>
      <c r="J5" s="102"/>
    </row>
    <row r="6" spans="7:9" ht="9" customHeight="1">
      <c r="G6" s="102"/>
      <c r="H6" s="173" t="s">
        <v>51</v>
      </c>
      <c r="I6" s="174" t="s">
        <v>52</v>
      </c>
    </row>
    <row r="7" spans="1:9" ht="12" customHeight="1">
      <c r="A7" s="216" t="s">
        <v>98</v>
      </c>
      <c r="C7" s="181"/>
      <c r="D7" s="181"/>
      <c r="E7" s="181"/>
      <c r="F7" s="181"/>
      <c r="H7" s="217"/>
      <c r="I7" s="215"/>
    </row>
    <row r="8" spans="1:10" ht="10.5" customHeight="1">
      <c r="A8" s="218" t="s">
        <v>99</v>
      </c>
      <c r="B8" s="181"/>
      <c r="C8" s="181"/>
      <c r="D8" s="181"/>
      <c r="E8" s="213"/>
      <c r="F8" s="213"/>
      <c r="H8" s="219">
        <f>Subcontracts!C3</f>
        <v>0</v>
      </c>
      <c r="I8" s="220">
        <f>+'Year 1'!K13</f>
        <v>0</v>
      </c>
      <c r="J8" s="221"/>
    </row>
    <row r="9" spans="7:10" ht="3.75" customHeight="1">
      <c r="G9" s="222"/>
      <c r="H9" s="186"/>
      <c r="I9" s="188"/>
      <c r="J9" s="186"/>
    </row>
    <row r="10" spans="1:12" ht="12" customHeight="1">
      <c r="A10" s="72" t="s">
        <v>56</v>
      </c>
      <c r="B10" s="72" t="s">
        <v>57</v>
      </c>
      <c r="C10" s="223"/>
      <c r="D10" s="1091" t="s">
        <v>343</v>
      </c>
      <c r="E10" s="1092"/>
      <c r="F10" s="1093"/>
      <c r="G10" s="78" t="s">
        <v>84</v>
      </c>
      <c r="H10" s="73" t="s">
        <v>59</v>
      </c>
      <c r="I10" s="224"/>
      <c r="J10" s="224"/>
      <c r="K10" s="94"/>
      <c r="L10" s="94"/>
    </row>
    <row r="11" spans="1:55" ht="12" customHeight="1">
      <c r="A11" s="94"/>
      <c r="B11" s="225"/>
      <c r="C11" s="77" t="s">
        <v>61</v>
      </c>
      <c r="D11" s="1090" t="s">
        <v>340</v>
      </c>
      <c r="E11" s="1090" t="s">
        <v>341</v>
      </c>
      <c r="F11" s="1090" t="s">
        <v>342</v>
      </c>
      <c r="G11" s="78" t="s">
        <v>85</v>
      </c>
      <c r="H11" s="78" t="s">
        <v>62</v>
      </c>
      <c r="I11" s="78" t="s">
        <v>55</v>
      </c>
      <c r="J11" s="177"/>
      <c r="K11" s="94"/>
      <c r="L11" s="94"/>
      <c r="BC11" s="177"/>
    </row>
    <row r="12" spans="1:55" ht="12" customHeight="1">
      <c r="A12" s="80" t="s">
        <v>64</v>
      </c>
      <c r="B12" s="226"/>
      <c r="C12" s="82" t="s">
        <v>65</v>
      </c>
      <c r="D12" s="1037"/>
      <c r="E12" s="1037"/>
      <c r="F12" s="1037"/>
      <c r="G12" s="83" t="s">
        <v>62</v>
      </c>
      <c r="H12" s="83" t="s">
        <v>66</v>
      </c>
      <c r="I12" s="83" t="s">
        <v>67</v>
      </c>
      <c r="J12" s="84" t="s">
        <v>68</v>
      </c>
      <c r="K12" s="94"/>
      <c r="L12" s="94"/>
      <c r="BC12" s="177"/>
    </row>
    <row r="13" spans="1:55" ht="13.5" customHeight="1">
      <c r="A13" s="1097">
        <f>+'Year 1'!C34</f>
        <v>0</v>
      </c>
      <c r="B13" s="1098"/>
      <c r="C13" s="1046">
        <f>+'Year 1'!E34</f>
        <v>0</v>
      </c>
      <c r="D13" s="1087">
        <f>+'Year 1'!F34</f>
        <v>0</v>
      </c>
      <c r="E13" s="1087">
        <f>+'Year 1'!G34</f>
        <v>0</v>
      </c>
      <c r="F13" s="1089">
        <f>+'Year 1'!H34</f>
        <v>0</v>
      </c>
      <c r="G13" s="86"/>
      <c r="H13" s="87"/>
      <c r="I13" s="87"/>
      <c r="J13" s="88"/>
      <c r="K13" s="94"/>
      <c r="L13" s="94"/>
      <c r="BC13" s="177"/>
    </row>
    <row r="14" spans="1:16" ht="13.5" customHeight="1">
      <c r="A14" s="1099"/>
      <c r="B14" s="1100"/>
      <c r="C14" s="1094"/>
      <c r="D14" s="1088"/>
      <c r="E14" s="1088"/>
      <c r="F14" s="1088"/>
      <c r="G14" s="227">
        <f>+'Year 1'!I35</f>
        <v>0</v>
      </c>
      <c r="H14" s="227">
        <f>+'Year 1'!J35</f>
        <v>0</v>
      </c>
      <c r="I14" s="92">
        <f>+'Year 1'!K35</f>
        <v>0</v>
      </c>
      <c r="J14" s="93">
        <f>H14+I14</f>
        <v>0</v>
      </c>
      <c r="K14" s="181"/>
      <c r="L14" s="181"/>
      <c r="M14" s="228"/>
      <c r="N14" s="228"/>
      <c r="O14" s="228"/>
      <c r="P14" s="228"/>
    </row>
    <row r="15" spans="1:55" ht="13.5" customHeight="1">
      <c r="A15" s="1097">
        <f>+'Year 1'!C36</f>
        <v>0</v>
      </c>
      <c r="B15" s="1098"/>
      <c r="C15" s="1046">
        <f>+'Year 1'!E36</f>
        <v>0</v>
      </c>
      <c r="D15" s="1087">
        <f>+'Year 1'!F36</f>
        <v>0</v>
      </c>
      <c r="E15" s="1087">
        <f>+'Year 1'!G36</f>
        <v>0</v>
      </c>
      <c r="F15" s="1089">
        <f>+'Year 1'!H36</f>
        <v>0</v>
      </c>
      <c r="G15" s="86"/>
      <c r="H15" s="87"/>
      <c r="I15" s="87"/>
      <c r="J15" s="88"/>
      <c r="K15" s="94"/>
      <c r="L15" s="94"/>
      <c r="BC15" s="177"/>
    </row>
    <row r="16" spans="1:16" ht="13.5" customHeight="1">
      <c r="A16" s="1099"/>
      <c r="B16" s="1100"/>
      <c r="C16" s="1094"/>
      <c r="D16" s="1088"/>
      <c r="E16" s="1088"/>
      <c r="F16" s="1088"/>
      <c r="G16" s="227">
        <f>+'Year 1'!I37</f>
        <v>0</v>
      </c>
      <c r="H16" s="227">
        <f>+'Year 1'!J37</f>
        <v>0</v>
      </c>
      <c r="I16" s="92">
        <f>+'Year 1'!K37</f>
        <v>0</v>
      </c>
      <c r="J16" s="93">
        <f>H16+I16</f>
        <v>0</v>
      </c>
      <c r="K16" s="181"/>
      <c r="L16" s="181"/>
      <c r="M16" s="228"/>
      <c r="N16" s="228"/>
      <c r="O16" s="228"/>
      <c r="P16" s="228"/>
    </row>
    <row r="17" spans="1:16" ht="13.5" customHeight="1">
      <c r="A17" s="1097">
        <f>+'Year 1'!C38</f>
        <v>0</v>
      </c>
      <c r="B17" s="1098"/>
      <c r="C17" s="1048">
        <f>+'Year 1'!E38</f>
        <v>0</v>
      </c>
      <c r="D17" s="1087">
        <f>+'Year 1'!F38</f>
        <v>0</v>
      </c>
      <c r="E17" s="1087">
        <f>+'Year 1'!G38</f>
        <v>0</v>
      </c>
      <c r="F17" s="1089">
        <f>+'Year 1'!H38</f>
        <v>0</v>
      </c>
      <c r="G17" s="97"/>
      <c r="H17" s="229"/>
      <c r="I17" s="97"/>
      <c r="J17" s="98"/>
      <c r="K17" s="181"/>
      <c r="L17" s="181"/>
      <c r="M17" s="228"/>
      <c r="N17" s="228"/>
      <c r="O17" s="228"/>
      <c r="P17" s="228"/>
    </row>
    <row r="18" spans="1:16" ht="13.5" customHeight="1">
      <c r="A18" s="1103"/>
      <c r="B18" s="1104"/>
      <c r="C18" s="1101"/>
      <c r="D18" s="1088"/>
      <c r="E18" s="1088"/>
      <c r="F18" s="1088"/>
      <c r="G18" s="227">
        <f>+'Year 1'!I39</f>
        <v>0</v>
      </c>
      <c r="H18" s="227">
        <f>+'Year 1'!J39</f>
        <v>0</v>
      </c>
      <c r="I18" s="92">
        <f>+'Year 1'!K39</f>
        <v>0</v>
      </c>
      <c r="J18" s="93">
        <f>H18+I18</f>
        <v>0</v>
      </c>
      <c r="K18" s="181"/>
      <c r="L18" s="181"/>
      <c r="M18" s="228"/>
      <c r="N18" s="228"/>
      <c r="O18" s="228"/>
      <c r="P18" s="228"/>
    </row>
    <row r="19" spans="1:16" ht="13.5" customHeight="1">
      <c r="A19" s="1108">
        <f>+'Year 1'!C40</f>
        <v>0</v>
      </c>
      <c r="B19" s="1109"/>
      <c r="C19" s="1102">
        <f>+'Year 1'!E40</f>
        <v>0</v>
      </c>
      <c r="D19" s="1087">
        <f>+'Year 1'!F40</f>
        <v>0</v>
      </c>
      <c r="E19" s="1087">
        <f>+'Year 1'!G40</f>
        <v>0</v>
      </c>
      <c r="F19" s="1089">
        <f>+'Year 1'!H40</f>
        <v>0</v>
      </c>
      <c r="G19" s="100"/>
      <c r="H19" s="97"/>
      <c r="I19" s="97"/>
      <c r="J19" s="98"/>
      <c r="K19" s="181"/>
      <c r="L19" s="181"/>
      <c r="M19" s="228"/>
      <c r="N19" s="228"/>
      <c r="O19" s="228"/>
      <c r="P19" s="228"/>
    </row>
    <row r="20" spans="1:16" ht="13.5" customHeight="1">
      <c r="A20" s="1103"/>
      <c r="B20" s="1104"/>
      <c r="C20" s="1101"/>
      <c r="D20" s="1088"/>
      <c r="E20" s="1088"/>
      <c r="F20" s="1088"/>
      <c r="G20" s="227">
        <f>+'Year 1'!I41</f>
        <v>0</v>
      </c>
      <c r="H20" s="227">
        <f>+'Year 1'!J41</f>
        <v>0</v>
      </c>
      <c r="I20" s="92">
        <f>+'Year 1'!K41</f>
        <v>0</v>
      </c>
      <c r="J20" s="93">
        <f>H20+I20</f>
        <v>0</v>
      </c>
      <c r="K20" s="181"/>
      <c r="L20" s="181"/>
      <c r="M20" s="228"/>
      <c r="N20" s="228"/>
      <c r="O20" s="228"/>
      <c r="P20" s="228"/>
    </row>
    <row r="21" spans="1:16" ht="13.5" customHeight="1">
      <c r="A21" s="1108">
        <f>+'Year 1'!C42</f>
        <v>0</v>
      </c>
      <c r="B21" s="1109"/>
      <c r="C21" s="1102">
        <f>+'Year 1'!E42</f>
        <v>0</v>
      </c>
      <c r="D21" s="1087">
        <f>+'Year 1'!F42</f>
        <v>0</v>
      </c>
      <c r="E21" s="1087">
        <f>+'Year 1'!G42</f>
        <v>0</v>
      </c>
      <c r="F21" s="1089">
        <f>+'Year 1'!H42</f>
        <v>0</v>
      </c>
      <c r="G21" s="97"/>
      <c r="H21" s="97"/>
      <c r="I21" s="97"/>
      <c r="J21" s="98"/>
      <c r="K21" s="181"/>
      <c r="L21" s="181"/>
      <c r="M21" s="228"/>
      <c r="N21" s="228"/>
      <c r="O21" s="228"/>
      <c r="P21" s="228"/>
    </row>
    <row r="22" spans="1:16" ht="13.5" customHeight="1">
      <c r="A22" s="1103"/>
      <c r="B22" s="1104"/>
      <c r="C22" s="1101"/>
      <c r="D22" s="1088"/>
      <c r="E22" s="1088"/>
      <c r="F22" s="1088"/>
      <c r="G22" s="227">
        <f>+'Year 1'!I43</f>
        <v>0</v>
      </c>
      <c r="H22" s="227">
        <f>+'Year 1'!J43</f>
        <v>0</v>
      </c>
      <c r="I22" s="92">
        <f>+'Year 1'!K43</f>
        <v>0</v>
      </c>
      <c r="J22" s="93">
        <f>H22+I22</f>
        <v>0</v>
      </c>
      <c r="K22" s="181"/>
      <c r="L22" s="181"/>
      <c r="M22" s="228"/>
      <c r="N22" s="228"/>
      <c r="O22" s="228"/>
      <c r="P22" s="228"/>
    </row>
    <row r="23" spans="1:16" ht="13.5" customHeight="1">
      <c r="A23" s="1108">
        <f>+'Year 1'!C44</f>
        <v>0</v>
      </c>
      <c r="B23" s="1110"/>
      <c r="C23" s="1044">
        <f>+'Year 1'!E44</f>
        <v>0</v>
      </c>
      <c r="D23" s="1087">
        <f>+'Year 1'!F44</f>
        <v>0</v>
      </c>
      <c r="E23" s="1087">
        <f>+'Year 1'!G44</f>
        <v>0</v>
      </c>
      <c r="F23" s="1089">
        <f>+'Year 1'!H44</f>
        <v>0</v>
      </c>
      <c r="G23" s="97"/>
      <c r="H23" s="97"/>
      <c r="I23" s="97"/>
      <c r="J23" s="98"/>
      <c r="K23" s="181"/>
      <c r="L23" s="181"/>
      <c r="M23" s="228"/>
      <c r="N23" s="228"/>
      <c r="O23" s="228"/>
      <c r="P23" s="228"/>
    </row>
    <row r="24" spans="1:16" ht="13.5" customHeight="1">
      <c r="A24" s="1099"/>
      <c r="B24" s="1106"/>
      <c r="C24" s="1107"/>
      <c r="D24" s="1088"/>
      <c r="E24" s="1088"/>
      <c r="F24" s="1088"/>
      <c r="G24" s="227">
        <f>+'Year 1'!I45</f>
        <v>0</v>
      </c>
      <c r="H24" s="227">
        <f>+'Year 1'!J45</f>
        <v>0</v>
      </c>
      <c r="I24" s="92">
        <f>+'Year 1'!K45</f>
        <v>0</v>
      </c>
      <c r="J24" s="93">
        <f>H24+I24</f>
        <v>0</v>
      </c>
      <c r="K24" s="181"/>
      <c r="L24" s="181"/>
      <c r="M24" s="228"/>
      <c r="N24" s="228"/>
      <c r="O24" s="228"/>
      <c r="P24" s="228"/>
    </row>
    <row r="25" spans="1:16" ht="13.5" customHeight="1">
      <c r="A25" s="1097">
        <f>+'Year 1'!C46</f>
        <v>0</v>
      </c>
      <c r="B25" s="1105"/>
      <c r="C25" s="1040">
        <f>+'Year 1'!E46</f>
        <v>0</v>
      </c>
      <c r="D25" s="1087">
        <f>+'Year 1'!F46</f>
        <v>0</v>
      </c>
      <c r="E25" s="1087">
        <f>+'Year 1'!G46</f>
        <v>0</v>
      </c>
      <c r="F25" s="1089">
        <f>+'Year 1'!H46</f>
        <v>0</v>
      </c>
      <c r="G25" s="97"/>
      <c r="H25" s="97"/>
      <c r="I25" s="97"/>
      <c r="J25" s="98"/>
      <c r="K25" s="181"/>
      <c r="L25" s="181"/>
      <c r="M25" s="228"/>
      <c r="N25" s="228"/>
      <c r="O25" s="228"/>
      <c r="P25" s="228"/>
    </row>
    <row r="26" spans="1:16" ht="13.5" customHeight="1">
      <c r="A26" s="1099"/>
      <c r="B26" s="1106"/>
      <c r="C26" s="1107"/>
      <c r="D26" s="1088"/>
      <c r="E26" s="1088"/>
      <c r="F26" s="1088"/>
      <c r="G26" s="227">
        <f>+'Year 1'!I47</f>
        <v>0</v>
      </c>
      <c r="H26" s="227">
        <f>+'Year 1'!J47</f>
        <v>0</v>
      </c>
      <c r="I26" s="92">
        <f>+'Year 1'!K47</f>
        <v>0</v>
      </c>
      <c r="J26" s="93">
        <f>H26+I26</f>
        <v>0</v>
      </c>
      <c r="K26" s="181"/>
      <c r="L26" s="181"/>
      <c r="M26" s="228"/>
      <c r="N26" s="228"/>
      <c r="O26" s="228"/>
      <c r="P26" s="228"/>
    </row>
    <row r="27" spans="1:16" ht="13.5" customHeight="1">
      <c r="A27" s="1097">
        <f>+'Year 1'!C48</f>
        <v>0</v>
      </c>
      <c r="B27" s="1105"/>
      <c r="C27" s="1040">
        <f>+'Year 1'!E48</f>
        <v>0</v>
      </c>
      <c r="D27" s="1087">
        <f>+'Year 1'!F48</f>
        <v>0</v>
      </c>
      <c r="E27" s="1087">
        <f>+'Year 1'!G48</f>
        <v>0</v>
      </c>
      <c r="F27" s="1089">
        <f>+'Year 1'!H48</f>
        <v>0</v>
      </c>
      <c r="G27" s="100"/>
      <c r="H27" s="97"/>
      <c r="I27" s="97"/>
      <c r="J27" s="98"/>
      <c r="K27" s="181"/>
      <c r="L27" s="181"/>
      <c r="M27" s="228"/>
      <c r="N27" s="228"/>
      <c r="O27" s="228"/>
      <c r="P27" s="228"/>
    </row>
    <row r="28" spans="1:16" ht="13.5" customHeight="1">
      <c r="A28" s="1099"/>
      <c r="B28" s="1106"/>
      <c r="C28" s="1107"/>
      <c r="D28" s="1088"/>
      <c r="E28" s="1088"/>
      <c r="F28" s="1088"/>
      <c r="G28" s="227">
        <f>+'Year 1'!I49</f>
        <v>0</v>
      </c>
      <c r="H28" s="227">
        <f>+'Year 1'!J49</f>
        <v>0</v>
      </c>
      <c r="I28" s="92">
        <f>+'Year 1'!K49</f>
        <v>0</v>
      </c>
      <c r="J28" s="93">
        <f>H28+I28</f>
        <v>0</v>
      </c>
      <c r="K28" s="181"/>
      <c r="L28" s="181"/>
      <c r="M28" s="228"/>
      <c r="N28" s="228"/>
      <c r="O28" s="228"/>
      <c r="P28" s="228"/>
    </row>
    <row r="29" ht="12" customHeight="1">
      <c r="C29" s="230"/>
    </row>
    <row r="30" ht="12.75" customHeight="1">
      <c r="C30" s="230"/>
    </row>
    <row r="31" ht="12" customHeight="1">
      <c r="C31" s="230"/>
    </row>
    <row r="32" ht="12" customHeight="1">
      <c r="C32" s="230"/>
    </row>
    <row r="33" ht="12" customHeight="1">
      <c r="C33" s="230"/>
    </row>
    <row r="34" ht="12" customHeight="1">
      <c r="C34" s="230"/>
    </row>
    <row r="35" ht="12" customHeight="1">
      <c r="C35" s="230"/>
    </row>
    <row r="36" ht="12" customHeight="1">
      <c r="C36" s="230"/>
    </row>
    <row r="37" ht="12" customHeight="1">
      <c r="C37" s="230"/>
    </row>
    <row r="38" ht="12" customHeight="1">
      <c r="C38" s="230"/>
    </row>
    <row r="39" ht="12" customHeight="1">
      <c r="C39" s="230"/>
    </row>
    <row r="40" ht="12" customHeight="1">
      <c r="C40" s="230"/>
    </row>
    <row r="41" ht="12" customHeight="1">
      <c r="C41" s="230"/>
    </row>
    <row r="42" ht="12" customHeight="1">
      <c r="C42" s="230"/>
    </row>
    <row r="43" ht="12" customHeight="1">
      <c r="C43" s="230"/>
    </row>
    <row r="44" ht="12" customHeight="1">
      <c r="C44" s="230"/>
    </row>
    <row r="45" ht="1.5" customHeight="1">
      <c r="C45" s="230"/>
    </row>
    <row r="46" ht="22.5" customHeight="1">
      <c r="C46" s="230"/>
    </row>
    <row r="47" ht="1.5" customHeight="1">
      <c r="C47" s="230"/>
    </row>
    <row r="48" ht="12" customHeight="1">
      <c r="C48" s="230"/>
    </row>
    <row r="49" ht="12.75" customHeight="1">
      <c r="C49" s="230"/>
    </row>
    <row r="50" ht="12.75" customHeight="1">
      <c r="C50" s="230"/>
    </row>
    <row r="51" ht="12" customHeight="1"/>
    <row r="52" ht="15" customHeight="1"/>
    <row r="53" ht="13.5" customHeight="1"/>
    <row r="54" ht="15" customHeight="1"/>
    <row r="55" ht="12" customHeight="1"/>
    <row r="56" ht="15" customHeight="1"/>
    <row r="57" ht="15" customHeight="1"/>
    <row r="58" ht="15.75" customHeight="1"/>
    <row r="59" ht="15" customHeight="1"/>
    <row r="60" ht="15" customHeight="1"/>
    <row r="61" ht="15" customHeight="1"/>
    <row r="62" ht="12" customHeight="1"/>
    <row r="63" ht="13.5" customHeight="1"/>
    <row r="64" ht="12" customHeight="1"/>
    <row r="65" ht="12" customHeight="1"/>
    <row r="66" ht="12" customHeight="1"/>
    <row r="67" ht="12.75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.75" customHeight="1"/>
    <row r="75" ht="12.75" customHeight="1"/>
    <row r="76" ht="24" customHeight="1"/>
    <row r="77" ht="3.75" customHeight="1"/>
    <row r="78" ht="15" customHeight="1"/>
    <row r="79" ht="10.5" customHeight="1"/>
    <row r="81" ht="24" customHeight="1">
      <c r="C81" s="94"/>
    </row>
    <row r="82" ht="3.75" customHeight="1">
      <c r="C82" s="94"/>
    </row>
    <row r="83" ht="10.5">
      <c r="C83" s="94"/>
    </row>
    <row r="84" ht="10.5">
      <c r="C84" s="94"/>
    </row>
    <row r="85" ht="0.75" customHeight="1">
      <c r="C85" s="94"/>
    </row>
    <row r="86" ht="10.5">
      <c r="C86" s="94"/>
    </row>
    <row r="87" ht="10.5">
      <c r="C87" s="94"/>
    </row>
    <row r="88" ht="10.5">
      <c r="C88" s="94"/>
    </row>
    <row r="89" ht="10.5">
      <c r="C89" s="94"/>
    </row>
    <row r="90" ht="10.5">
      <c r="C90" s="94"/>
    </row>
    <row r="91" ht="10.5">
      <c r="C91" s="94"/>
    </row>
    <row r="92" ht="10.5">
      <c r="C92" s="94"/>
    </row>
    <row r="93" ht="10.5">
      <c r="C93" s="94"/>
    </row>
    <row r="94" ht="10.5">
      <c r="C94" s="94"/>
    </row>
    <row r="95" ht="10.5">
      <c r="C95" s="94"/>
    </row>
    <row r="96" ht="10.5">
      <c r="C96" s="94"/>
    </row>
    <row r="97" spans="1:10" ht="9" customHeight="1">
      <c r="A97" s="94"/>
      <c r="B97" s="94"/>
      <c r="C97" s="94"/>
      <c r="D97" s="94"/>
      <c r="E97" s="94"/>
      <c r="F97" s="94"/>
      <c r="G97" s="94"/>
      <c r="H97" s="94"/>
      <c r="I97" s="94"/>
      <c r="J97" s="94"/>
    </row>
    <row r="98" spans="1:10" ht="10.5">
      <c r="A98" s="94"/>
      <c r="B98" s="94"/>
      <c r="C98" s="94"/>
      <c r="D98" s="94"/>
      <c r="E98" s="94"/>
      <c r="F98" s="94"/>
      <c r="G98" s="94"/>
      <c r="H98" s="94"/>
      <c r="I98" s="94"/>
      <c r="J98" s="94"/>
    </row>
    <row r="99" spans="1:10" ht="16.5" customHeight="1">
      <c r="A99" s="94"/>
      <c r="B99" s="94"/>
      <c r="C99" s="94"/>
      <c r="D99" s="94"/>
      <c r="E99" s="94"/>
      <c r="F99" s="94"/>
      <c r="G99" s="94"/>
      <c r="H99" s="94"/>
      <c r="I99" s="94"/>
      <c r="J99" s="94"/>
    </row>
    <row r="100" spans="1:10" ht="16.5" customHeight="1">
      <c r="A100" s="94"/>
      <c r="B100" s="94"/>
      <c r="C100" s="94"/>
      <c r="D100" s="94"/>
      <c r="E100" s="94"/>
      <c r="F100" s="94"/>
      <c r="G100" s="94"/>
      <c r="H100" s="94"/>
      <c r="I100" s="94"/>
      <c r="J100" s="94"/>
    </row>
    <row r="101" spans="1:10" ht="10.5" customHeight="1">
      <c r="A101" s="94"/>
      <c r="B101" s="94"/>
      <c r="C101" s="94"/>
      <c r="D101" s="94"/>
      <c r="E101" s="94"/>
      <c r="F101" s="94"/>
      <c r="G101" s="94"/>
      <c r="H101" s="94"/>
      <c r="I101" s="94"/>
      <c r="J101" s="94"/>
    </row>
    <row r="102" spans="1:10" ht="10.5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</row>
    <row r="103" spans="1:10" ht="10.5" customHeight="1">
      <c r="A103" s="94"/>
      <c r="B103" s="94"/>
      <c r="C103" s="94"/>
      <c r="D103" s="94"/>
      <c r="E103" s="94"/>
      <c r="F103" s="94"/>
      <c r="G103" s="94"/>
      <c r="H103" s="94"/>
      <c r="I103" s="94"/>
      <c r="J103" s="94"/>
    </row>
    <row r="104" spans="1:10" ht="10.5" customHeight="1">
      <c r="A104" s="94"/>
      <c r="B104" s="94"/>
      <c r="C104" s="94"/>
      <c r="D104" s="94"/>
      <c r="E104" s="94"/>
      <c r="F104" s="94"/>
      <c r="G104" s="94"/>
      <c r="H104" s="94"/>
      <c r="I104" s="94"/>
      <c r="J104" s="94"/>
    </row>
    <row r="105" spans="1:10" ht="10.5" customHeight="1">
      <c r="A105" s="94"/>
      <c r="B105" s="94"/>
      <c r="C105" s="94"/>
      <c r="D105" s="94"/>
      <c r="E105" s="94"/>
      <c r="F105" s="94"/>
      <c r="G105" s="94"/>
      <c r="H105" s="94"/>
      <c r="I105" s="94"/>
      <c r="J105" s="94"/>
    </row>
    <row r="106" spans="1:10" ht="10.5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4"/>
    </row>
    <row r="107" spans="1:10" ht="22.5" customHeight="1">
      <c r="A107" s="94"/>
      <c r="B107" s="94"/>
      <c r="C107" s="94"/>
      <c r="D107" s="94"/>
      <c r="E107" s="94"/>
      <c r="F107" s="94"/>
      <c r="G107" s="94"/>
      <c r="H107" s="94"/>
      <c r="I107" s="94"/>
      <c r="J107" s="94"/>
    </row>
    <row r="108" spans="1:10" ht="22.5" customHeight="1">
      <c r="A108" s="94"/>
      <c r="B108" s="94"/>
      <c r="C108" s="94"/>
      <c r="D108" s="94"/>
      <c r="E108" s="94"/>
      <c r="F108" s="94"/>
      <c r="G108" s="94"/>
      <c r="H108" s="94"/>
      <c r="I108" s="94"/>
      <c r="J108" s="94"/>
    </row>
    <row r="109" spans="1:10" ht="22.5" customHeight="1">
      <c r="A109" s="94"/>
      <c r="B109" s="94"/>
      <c r="C109" s="94"/>
      <c r="D109" s="94"/>
      <c r="E109" s="94"/>
      <c r="F109" s="94"/>
      <c r="G109" s="94"/>
      <c r="H109" s="94"/>
      <c r="I109" s="94"/>
      <c r="J109" s="94"/>
    </row>
    <row r="110" spans="1:10" ht="22.5" customHeight="1">
      <c r="A110" s="94"/>
      <c r="B110" s="94"/>
      <c r="C110" s="94"/>
      <c r="D110" s="94"/>
      <c r="E110" s="94"/>
      <c r="F110" s="94"/>
      <c r="G110" s="94"/>
      <c r="H110" s="94"/>
      <c r="I110" s="94"/>
      <c r="J110" s="94"/>
    </row>
    <row r="111" spans="1:10" ht="22.5" customHeight="1">
      <c r="A111" s="94"/>
      <c r="B111" s="94"/>
      <c r="C111" s="94"/>
      <c r="D111" s="94"/>
      <c r="E111" s="94"/>
      <c r="F111" s="94"/>
      <c r="G111" s="94"/>
      <c r="H111" s="94"/>
      <c r="I111" s="94"/>
      <c r="J111" s="94"/>
    </row>
    <row r="112" spans="1:10" ht="22.5" customHeight="1">
      <c r="A112" s="94"/>
      <c r="B112" s="94"/>
      <c r="C112" s="94"/>
      <c r="D112" s="94"/>
      <c r="E112" s="94"/>
      <c r="F112" s="94"/>
      <c r="G112" s="94"/>
      <c r="H112" s="94"/>
      <c r="I112" s="94"/>
      <c r="J112" s="94"/>
    </row>
    <row r="113" spans="1:10" ht="12.75" customHeight="1">
      <c r="A113" s="94"/>
      <c r="B113" s="94"/>
      <c r="C113" s="94"/>
      <c r="D113" s="94"/>
      <c r="E113" s="94"/>
      <c r="F113" s="94"/>
      <c r="G113" s="94"/>
      <c r="H113" s="94"/>
      <c r="I113" s="94"/>
      <c r="J113" s="94"/>
    </row>
    <row r="114" spans="1:10" ht="10.5" customHeight="1">
      <c r="A114" s="94"/>
      <c r="B114" s="94"/>
      <c r="D114" s="94"/>
      <c r="E114" s="94"/>
      <c r="F114" s="94"/>
      <c r="G114" s="94"/>
      <c r="H114" s="94"/>
      <c r="I114" s="94"/>
      <c r="J114" s="94"/>
    </row>
    <row r="115" spans="1:10" ht="22.5" customHeight="1">
      <c r="A115" s="94"/>
      <c r="B115" s="94"/>
      <c r="D115" s="94"/>
      <c r="E115" s="94"/>
      <c r="F115" s="94"/>
      <c r="G115" s="94"/>
      <c r="H115" s="94"/>
      <c r="I115" s="94"/>
      <c r="J115" s="94"/>
    </row>
    <row r="116" spans="1:10" ht="22.5" customHeight="1">
      <c r="A116" s="94"/>
      <c r="B116" s="94"/>
      <c r="D116" s="94"/>
      <c r="E116" s="94"/>
      <c r="F116" s="94"/>
      <c r="G116" s="94"/>
      <c r="H116" s="94"/>
      <c r="I116" s="94"/>
      <c r="J116" s="94"/>
    </row>
    <row r="117" spans="1:10" ht="12.75" customHeight="1">
      <c r="A117" s="94"/>
      <c r="B117" s="94"/>
      <c r="D117" s="94"/>
      <c r="E117" s="94"/>
      <c r="F117" s="94"/>
      <c r="G117" s="94"/>
      <c r="H117" s="94"/>
      <c r="I117" s="94"/>
      <c r="J117" s="94"/>
    </row>
    <row r="118" spans="1:10" ht="10.5" customHeight="1">
      <c r="A118" s="94"/>
      <c r="B118" s="94"/>
      <c r="D118" s="94"/>
      <c r="E118" s="94"/>
      <c r="F118" s="94"/>
      <c r="G118" s="94"/>
      <c r="H118" s="94"/>
      <c r="I118" s="94"/>
      <c r="J118" s="94"/>
    </row>
    <row r="119" spans="1:10" ht="27" customHeight="1">
      <c r="A119" s="94"/>
      <c r="B119" s="94"/>
      <c r="D119" s="94"/>
      <c r="E119" s="94"/>
      <c r="F119" s="94"/>
      <c r="G119" s="94"/>
      <c r="H119" s="94"/>
      <c r="I119" s="94"/>
      <c r="J119" s="94"/>
    </row>
    <row r="120" spans="1:10" ht="9" customHeight="1">
      <c r="A120" s="94"/>
      <c r="B120" s="94"/>
      <c r="D120" s="94"/>
      <c r="E120" s="94"/>
      <c r="F120" s="94"/>
      <c r="G120" s="94"/>
      <c r="H120" s="94"/>
      <c r="I120" s="94"/>
      <c r="J120" s="94"/>
    </row>
    <row r="121" spans="1:10" ht="0.75" customHeight="1">
      <c r="A121" s="94"/>
      <c r="B121" s="94"/>
      <c r="D121" s="94"/>
      <c r="E121" s="94"/>
      <c r="F121" s="94"/>
      <c r="G121" s="94"/>
      <c r="H121" s="94"/>
      <c r="I121" s="94"/>
      <c r="J121" s="94"/>
    </row>
    <row r="122" spans="1:10" ht="21.75" customHeight="1">
      <c r="A122" s="94"/>
      <c r="B122" s="94"/>
      <c r="D122" s="94"/>
      <c r="E122" s="94"/>
      <c r="F122" s="94"/>
      <c r="G122" s="94"/>
      <c r="H122" s="94"/>
      <c r="I122" s="94"/>
      <c r="J122" s="94"/>
    </row>
    <row r="123" spans="1:10" ht="12" customHeight="1">
      <c r="A123" s="94"/>
      <c r="B123" s="94"/>
      <c r="D123" s="94"/>
      <c r="E123" s="94"/>
      <c r="F123" s="94"/>
      <c r="G123" s="94"/>
      <c r="H123" s="94"/>
      <c r="I123" s="94"/>
      <c r="J123" s="94"/>
    </row>
    <row r="124" spans="1:10" ht="0.75" customHeight="1">
      <c r="A124" s="94"/>
      <c r="B124" s="94"/>
      <c r="D124" s="94"/>
      <c r="E124" s="94"/>
      <c r="F124" s="94"/>
      <c r="G124" s="94"/>
      <c r="H124" s="94"/>
      <c r="I124" s="94"/>
      <c r="J124" s="94"/>
    </row>
    <row r="125" spans="1:10" ht="12.75" customHeight="1">
      <c r="A125" s="94"/>
      <c r="B125" s="94"/>
      <c r="D125" s="94"/>
      <c r="E125" s="94"/>
      <c r="F125" s="94"/>
      <c r="G125" s="94"/>
      <c r="H125" s="94"/>
      <c r="I125" s="94"/>
      <c r="J125" s="94"/>
    </row>
    <row r="126" spans="1:10" ht="10.5" customHeight="1">
      <c r="A126" s="94"/>
      <c r="B126" s="94"/>
      <c r="D126" s="94"/>
      <c r="E126" s="94"/>
      <c r="F126" s="94"/>
      <c r="G126" s="94"/>
      <c r="H126" s="94"/>
      <c r="I126" s="94"/>
      <c r="J126" s="94"/>
    </row>
    <row r="127" spans="1:10" ht="10.5">
      <c r="A127" s="94"/>
      <c r="B127" s="94"/>
      <c r="D127" s="94"/>
      <c r="E127" s="94"/>
      <c r="F127" s="94"/>
      <c r="G127" s="94"/>
      <c r="H127" s="94"/>
      <c r="I127" s="94"/>
      <c r="J127" s="94"/>
    </row>
    <row r="128" spans="1:10" ht="10.5" customHeight="1">
      <c r="A128" s="94"/>
      <c r="B128" s="94"/>
      <c r="D128" s="94"/>
      <c r="E128" s="94"/>
      <c r="F128" s="94"/>
      <c r="G128" s="94"/>
      <c r="H128" s="94"/>
      <c r="I128" s="94"/>
      <c r="J128" s="94"/>
    </row>
    <row r="129" spans="1:9" ht="10.5" customHeight="1">
      <c r="A129" s="94"/>
      <c r="B129" s="94"/>
      <c r="D129" s="94"/>
      <c r="E129" s="94"/>
      <c r="F129" s="94"/>
      <c r="G129" s="94"/>
      <c r="H129" s="94"/>
      <c r="I129" s="94"/>
    </row>
    <row r="131" ht="10.5" customHeight="1"/>
    <row r="132" ht="10.5" customHeight="1"/>
    <row r="134" ht="10.5" customHeight="1"/>
    <row r="135" ht="10.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</sheetData>
  <sheetProtection sheet="1" objects="1" scenarios="1"/>
  <mergeCells count="45">
    <mergeCell ref="A19:B20"/>
    <mergeCell ref="A21:B22"/>
    <mergeCell ref="C15:C16"/>
    <mergeCell ref="D15:D16"/>
    <mergeCell ref="D17:D18"/>
    <mergeCell ref="A23:B24"/>
    <mergeCell ref="A25:B26"/>
    <mergeCell ref="C27:C28"/>
    <mergeCell ref="C23:C24"/>
    <mergeCell ref="C25:C26"/>
    <mergeCell ref="D27:D28"/>
    <mergeCell ref="A27:B28"/>
    <mergeCell ref="D23:D24"/>
    <mergeCell ref="D25:D26"/>
    <mergeCell ref="A1:A3"/>
    <mergeCell ref="A13:B14"/>
    <mergeCell ref="D11:D12"/>
    <mergeCell ref="C17:C18"/>
    <mergeCell ref="C19:C20"/>
    <mergeCell ref="C21:C22"/>
    <mergeCell ref="D19:D20"/>
    <mergeCell ref="D21:D22"/>
    <mergeCell ref="A15:B16"/>
    <mergeCell ref="A17:B18"/>
    <mergeCell ref="F11:F12"/>
    <mergeCell ref="D10:F10"/>
    <mergeCell ref="E13:E14"/>
    <mergeCell ref="F13:F14"/>
    <mergeCell ref="E11:E12"/>
    <mergeCell ref="C13:C14"/>
    <mergeCell ref="D13:D14"/>
    <mergeCell ref="E15:E16"/>
    <mergeCell ref="F15:F16"/>
    <mergeCell ref="E17:E18"/>
    <mergeCell ref="F17:F18"/>
    <mergeCell ref="E19:E20"/>
    <mergeCell ref="F19:F20"/>
    <mergeCell ref="E21:E22"/>
    <mergeCell ref="F21:F22"/>
    <mergeCell ref="E27:E28"/>
    <mergeCell ref="F27:F28"/>
    <mergeCell ref="E23:E24"/>
    <mergeCell ref="F23:F24"/>
    <mergeCell ref="E25:E26"/>
    <mergeCell ref="F25:F26"/>
  </mergeCells>
  <printOptions/>
  <pageMargins left="0" right="0" top="0.2" bottom="0.2" header="0.5" footer="0.5"/>
  <pageSetup fitToHeight="1" fitToWidth="1" horizontalDpi="300" verticalDpi="3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N52"/>
  <sheetViews>
    <sheetView showGridLines="0" showZeros="0" zoomScale="75" zoomScaleNormal="75" zoomScalePageLayoutView="0" workbookViewId="0" topLeftCell="A1">
      <selection activeCell="J15" sqref="J15"/>
    </sheetView>
  </sheetViews>
  <sheetFormatPr defaultColWidth="6.8515625" defaultRowHeight="12.75"/>
  <cols>
    <col min="1" max="4" width="5.7109375" style="231" customWidth="1"/>
    <col min="5" max="5" width="9.00390625" style="231" customWidth="1"/>
    <col min="6" max="6" width="16.421875" style="231" customWidth="1"/>
    <col min="7" max="7" width="6.8515625" style="231" customWidth="1"/>
    <col min="8" max="8" width="7.421875" style="231" customWidth="1"/>
    <col min="9" max="9" width="2.140625" style="231" customWidth="1"/>
    <col min="10" max="10" width="12.140625" style="231" customWidth="1"/>
    <col min="11" max="13" width="6.8515625" style="231" customWidth="1"/>
    <col min="14" max="14" width="16.421875" style="231" customWidth="1"/>
    <col min="15" max="16384" width="6.8515625" style="231" customWidth="1"/>
  </cols>
  <sheetData>
    <row r="1" ht="12" customHeight="1">
      <c r="A1" s="231" t="s">
        <v>156</v>
      </c>
    </row>
    <row r="2" ht="12" customHeight="1"/>
    <row r="3" ht="12" customHeight="1"/>
    <row r="4" spans="1:10" ht="12" customHeight="1">
      <c r="A4" s="231" t="s">
        <v>100</v>
      </c>
      <c r="H4" s="232">
        <f>+Subcontracts!C3</f>
        <v>0</v>
      </c>
      <c r="J4" s="232">
        <f>+Subcontracts!C3</f>
        <v>0</v>
      </c>
    </row>
    <row r="5" spans="1:10" ht="12" customHeight="1">
      <c r="A5" s="231" t="s">
        <v>333</v>
      </c>
      <c r="E5" s="725">
        <f>Checklist!E35</f>
        <v>42496</v>
      </c>
      <c r="J5" s="233"/>
    </row>
    <row r="6" spans="1:10" ht="12" customHeight="1">
      <c r="A6" s="231" t="s">
        <v>101</v>
      </c>
      <c r="G6" s="45"/>
      <c r="J6" s="101">
        <f>+FacePage!$B$14</f>
        <v>0</v>
      </c>
    </row>
    <row r="7" ht="12" customHeight="1"/>
    <row r="8" ht="12" customHeight="1"/>
    <row r="9" ht="12" customHeight="1"/>
    <row r="10" spans="5:13" ht="12" customHeight="1">
      <c r="E10" s="45"/>
      <c r="F10" s="231" t="s">
        <v>102</v>
      </c>
      <c r="I10" s="45"/>
      <c r="J10" s="231" t="s">
        <v>102</v>
      </c>
      <c r="M10" s="45"/>
    </row>
    <row r="11" spans="6:14" ht="12" customHeight="1">
      <c r="F11" s="234" t="s">
        <v>85</v>
      </c>
      <c r="G11" s="235"/>
      <c r="J11" s="234" t="s">
        <v>63</v>
      </c>
      <c r="K11" s="235"/>
      <c r="M11" s="235" t="s">
        <v>102</v>
      </c>
      <c r="N11" s="235"/>
    </row>
    <row r="12" ht="12" customHeight="1">
      <c r="L12" s="236"/>
    </row>
    <row r="13" spans="1:14" ht="12" customHeight="1">
      <c r="A13" s="231" t="s">
        <v>103</v>
      </c>
      <c r="F13" s="231">
        <f>'Mod Just Page'!B10-'Year 1'!$L$57-'Year 1'!$L$67-'Year 1'!$L$68-'Year 1'!$L$78-Subcontracts!$C$68+Subcontracts!$D$93-'Year 1'!L70</f>
        <v>0</v>
      </c>
      <c r="H13" s="236" t="s">
        <v>104</v>
      </c>
      <c r="J13" s="237">
        <f>+'Year 1'!D1</f>
        <v>0</v>
      </c>
      <c r="L13" s="236" t="s">
        <v>105</v>
      </c>
      <c r="N13" s="231">
        <f>+F13*(J13/100)</f>
        <v>0</v>
      </c>
    </row>
    <row r="14" ht="12" customHeight="1"/>
    <row r="15" spans="1:14" ht="12" customHeight="1">
      <c r="A15" s="231" t="s">
        <v>106</v>
      </c>
      <c r="F15" s="231">
        <f>+'Mod Just Page'!C10-'Year 2'!$L$57-'Year 2'!$L$67-'Year 2'!$L$68-'Year 2'!$L$78-Subcontracts!$D$68+Subcontracts!$E$93-'Year 2'!L70</f>
        <v>0</v>
      </c>
      <c r="H15" s="231" t="s">
        <v>104</v>
      </c>
      <c r="J15" s="237">
        <f>IF(Subcontracts!F5&gt;=2,+'Year 2'!D1,)</f>
        <v>0</v>
      </c>
      <c r="L15" s="236" t="s">
        <v>105</v>
      </c>
      <c r="N15" s="231">
        <f>+F15*(J15/100)</f>
        <v>0</v>
      </c>
    </row>
    <row r="16" ht="12" customHeight="1"/>
    <row r="17" spans="1:14" ht="12" customHeight="1">
      <c r="A17" s="231" t="s">
        <v>107</v>
      </c>
      <c r="F17" s="231">
        <f>+'Mod Just Page'!D10-'Year 3'!$L$57-'Year 3'!$L$67-'Year 3'!$L$68-'Year 3'!$L$78-Subcontracts!$E$68+Subcontracts!$F$93-'Year 3'!L70</f>
        <v>0</v>
      </c>
      <c r="H17" s="231" t="s">
        <v>104</v>
      </c>
      <c r="J17" s="237">
        <f>IF(Subcontracts!F5&gt;=3,+'Year 3'!D1,)</f>
        <v>0</v>
      </c>
      <c r="L17" s="236" t="s">
        <v>105</v>
      </c>
      <c r="N17" s="231">
        <f>+F17*(J17/100)</f>
        <v>0</v>
      </c>
    </row>
    <row r="18" ht="12" customHeight="1"/>
    <row r="19" spans="1:14" ht="12" customHeight="1">
      <c r="A19" s="231" t="s">
        <v>108</v>
      </c>
      <c r="F19" s="231">
        <f>+'Mod Just Page'!E10-'Year 4'!$L$57-'Year 4'!$L$67-'Year 4'!$L$68-'Year 4'!$L$78-Subcontracts!$F$68+Subcontracts!$G$93-'Year 4'!L70</f>
        <v>0</v>
      </c>
      <c r="H19" s="231" t="s">
        <v>104</v>
      </c>
      <c r="J19" s="237">
        <f>IF(Subcontracts!F5&gt;=4,+'Year 4'!D1,)</f>
        <v>0</v>
      </c>
      <c r="L19" s="236" t="s">
        <v>105</v>
      </c>
      <c r="N19" s="231">
        <f>+F19*(J19/100)</f>
        <v>0</v>
      </c>
    </row>
    <row r="20" ht="12" customHeight="1"/>
    <row r="21" spans="1:14" ht="12" customHeight="1">
      <c r="A21" s="231" t="s">
        <v>109</v>
      </c>
      <c r="F21" s="231">
        <f>+'Mod Just Page'!F10-'Year 5'!$L$57-'Year 5'!$L$67-'Year 5'!$L$68-'Year 5'!$L$78-Subcontracts!$G$68+Subcontracts!$H$93-'Year 5'!L70</f>
        <v>0</v>
      </c>
      <c r="H21" s="231" t="s">
        <v>104</v>
      </c>
      <c r="J21" s="237">
        <f>IF(Subcontracts!F5&gt;=5,+'Year 5'!D1,)</f>
        <v>0</v>
      </c>
      <c r="L21" s="236" t="s">
        <v>105</v>
      </c>
      <c r="N21" s="231">
        <f>+F21*(J21/100)</f>
        <v>0</v>
      </c>
    </row>
    <row r="22" ht="12" customHeight="1">
      <c r="F22" s="238"/>
    </row>
    <row r="23" ht="12" customHeight="1"/>
    <row r="24" spans="1:14" ht="12" customHeight="1">
      <c r="A24" s="231" t="s">
        <v>68</v>
      </c>
      <c r="F24" s="231">
        <f>SUM(F13:F21)</f>
        <v>0</v>
      </c>
      <c r="L24" s="236"/>
      <c r="N24" s="231">
        <f>SUM(N13:N21)</f>
        <v>0</v>
      </c>
    </row>
    <row r="25" ht="12" customHeight="1"/>
    <row r="26" ht="12" customHeight="1"/>
    <row r="27" ht="12" customHeight="1"/>
    <row r="28" ht="12" customHeight="1"/>
    <row r="29" ht="12" customHeight="1">
      <c r="A29" s="231" t="s">
        <v>157</v>
      </c>
    </row>
    <row r="30" ht="12" customHeight="1"/>
    <row r="31" ht="12" customHeight="1"/>
    <row r="32" spans="1:8" ht="12" customHeight="1">
      <c r="A32" s="231" t="s">
        <v>100</v>
      </c>
      <c r="H32" s="232">
        <f>Subcontracts!C3</f>
        <v>0</v>
      </c>
    </row>
    <row r="33" spans="1:10" ht="12" customHeight="1">
      <c r="A33" s="231" t="s">
        <v>334</v>
      </c>
      <c r="E33" s="725">
        <f>Checklist!E35</f>
        <v>42496</v>
      </c>
      <c r="J33" s="233"/>
    </row>
    <row r="34" spans="1:10" ht="12" customHeight="1">
      <c r="A34" s="231" t="s">
        <v>101</v>
      </c>
      <c r="G34" s="45"/>
      <c r="J34" s="101">
        <f>+FacePage!$B$14</f>
        <v>0</v>
      </c>
    </row>
    <row r="35" ht="12" customHeight="1"/>
    <row r="36" ht="12" customHeight="1"/>
    <row r="37" ht="12" customHeight="1"/>
    <row r="38" spans="5:13" ht="12" customHeight="1">
      <c r="E38" s="45"/>
      <c r="F38" s="231" t="s">
        <v>102</v>
      </c>
      <c r="I38" s="45"/>
      <c r="J38" s="231" t="s">
        <v>102</v>
      </c>
      <c r="M38" s="45"/>
    </row>
    <row r="39" spans="6:14" ht="12" customHeight="1">
      <c r="F39" s="234" t="s">
        <v>85</v>
      </c>
      <c r="G39" s="235"/>
      <c r="J39" s="234" t="s">
        <v>63</v>
      </c>
      <c r="K39" s="235"/>
      <c r="M39" s="235" t="s">
        <v>102</v>
      </c>
      <c r="N39" s="235"/>
    </row>
    <row r="40" ht="12" customHeight="1">
      <c r="L40" s="236"/>
    </row>
    <row r="41" spans="1:14" ht="12" customHeight="1">
      <c r="A41" s="231" t="s">
        <v>103</v>
      </c>
      <c r="F41" s="231">
        <f>'Year 1'!$L$82-'Year 1'!$L$57-'Year 1'!$L$67-'Year 1'!$L$68-'Year 1'!$L$78-Subcontracts!$C$68+Subcontracts!$D$93-'Year 1'!L70</f>
        <v>0</v>
      </c>
      <c r="H41" s="236" t="s">
        <v>104</v>
      </c>
      <c r="J41" s="237">
        <f>+'Year 1'!D1</f>
        <v>0</v>
      </c>
      <c r="L41" s="236" t="s">
        <v>105</v>
      </c>
      <c r="N41" s="231">
        <f>+F41*(J41/100)</f>
        <v>0</v>
      </c>
    </row>
    <row r="42" ht="12" customHeight="1"/>
    <row r="43" spans="1:14" ht="12" customHeight="1">
      <c r="A43" s="231" t="s">
        <v>106</v>
      </c>
      <c r="F43" s="231">
        <f>'Year 2'!$L$82-'Year 2'!$L$57-'Year 2'!$L$67-'Year 2'!$L$68-'Year 2'!$L$78-Subcontracts!$D$68+Subcontracts!$E$93-'Year 2'!L70</f>
        <v>0</v>
      </c>
      <c r="H43" s="231" t="s">
        <v>104</v>
      </c>
      <c r="J43" s="237">
        <f>IF(Subcontracts!F5&gt;=2,+'Year 2'!D1,)</f>
        <v>0</v>
      </c>
      <c r="L43" s="236" t="s">
        <v>105</v>
      </c>
      <c r="N43" s="231">
        <f>+F43*(J43/100)</f>
        <v>0</v>
      </c>
    </row>
    <row r="44" ht="12" customHeight="1"/>
    <row r="45" spans="1:14" ht="12" customHeight="1">
      <c r="A45" s="231" t="s">
        <v>107</v>
      </c>
      <c r="F45" s="231">
        <f>'Year 3'!$L$82-'Year 3'!$L$57-'Year 3'!$L$67-'Year 3'!$L$68-'Year 3'!$L$78-Subcontracts!$E$68+Subcontracts!$F$93-'Year 3'!L70</f>
        <v>0</v>
      </c>
      <c r="H45" s="231" t="s">
        <v>104</v>
      </c>
      <c r="J45" s="237">
        <f>IF(Subcontracts!F5&gt;=3,+'Year 3'!D1,)</f>
        <v>0</v>
      </c>
      <c r="L45" s="236" t="s">
        <v>105</v>
      </c>
      <c r="N45" s="231">
        <f>+F45*(J45/100)</f>
        <v>0</v>
      </c>
    </row>
    <row r="46" ht="12" customHeight="1"/>
    <row r="47" spans="1:14" ht="12" customHeight="1">
      <c r="A47" s="231" t="s">
        <v>108</v>
      </c>
      <c r="F47" s="231">
        <f>'Year 4'!$L$82-'Year 4'!$L$57-'Year 4'!$L$67-'Year 4'!$L$68-'Year 4'!$L$78-Subcontracts!$F$68+Subcontracts!$G$93-'Year 4'!L70</f>
        <v>0</v>
      </c>
      <c r="H47" s="231" t="s">
        <v>104</v>
      </c>
      <c r="J47" s="237">
        <f>IF(Subcontracts!F5&gt;=4,+'Year 4'!D1,)</f>
        <v>0</v>
      </c>
      <c r="L47" s="236" t="s">
        <v>105</v>
      </c>
      <c r="N47" s="231">
        <f>+F47*(J47/100)</f>
        <v>0</v>
      </c>
    </row>
    <row r="48" ht="12" customHeight="1"/>
    <row r="49" spans="1:14" ht="12" customHeight="1">
      <c r="A49" s="231" t="s">
        <v>109</v>
      </c>
      <c r="F49" s="231">
        <f>'Year 5'!$L$82-'Year 5'!$L$57-'Year 5'!$L$67-'Year 5'!$L$68-'Year 5'!$L$78-Subcontracts!$G$68+Subcontracts!$H$93-'Year 5'!L70</f>
        <v>0</v>
      </c>
      <c r="H49" s="231" t="s">
        <v>104</v>
      </c>
      <c r="J49" s="237">
        <f>IF(Subcontracts!F5&gt;=5,+'Year 5'!D1,)</f>
        <v>0</v>
      </c>
      <c r="L49" s="236" t="s">
        <v>105</v>
      </c>
      <c r="N49" s="231">
        <f>+F49*(J49/100)</f>
        <v>0</v>
      </c>
    </row>
    <row r="50" ht="12" customHeight="1">
      <c r="F50" s="238"/>
    </row>
    <row r="51" ht="12" customHeight="1"/>
    <row r="52" spans="1:14" ht="13.5">
      <c r="A52" s="231" t="s">
        <v>68</v>
      </c>
      <c r="F52" s="231">
        <f>SUM(F41:F49)</f>
        <v>0</v>
      </c>
      <c r="L52" s="236"/>
      <c r="N52" s="231">
        <f>SUM(N41:N49)</f>
        <v>0</v>
      </c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portrait" scale="80" r:id="rId1"/>
  <headerFooter alignWithMargins="0">
    <oddFooter>&amp;R&amp;8&amp;D</oddFooter>
  </headerFooter>
  <rowBreaks count="3" manualBreakCount="3">
    <brk id="26" max="255" man="1"/>
    <brk id="27" max="255" man="1"/>
    <brk id="2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showGridLines="0" showZeros="0" zoomScalePageLayoutView="0" workbookViewId="0" topLeftCell="A4">
      <selection activeCell="E35" sqref="E35"/>
    </sheetView>
  </sheetViews>
  <sheetFormatPr defaultColWidth="9.140625" defaultRowHeight="12.75"/>
  <cols>
    <col min="1" max="1" width="3.7109375" style="573" customWidth="1"/>
    <col min="2" max="2" width="12.28125" style="573" customWidth="1"/>
    <col min="3" max="3" width="6.421875" style="573" customWidth="1"/>
    <col min="4" max="4" width="8.140625" style="573" customWidth="1"/>
    <col min="5" max="5" width="13.00390625" style="573" customWidth="1"/>
    <col min="6" max="6" width="11.00390625" style="573" customWidth="1"/>
    <col min="7" max="7" width="10.421875" style="573" customWidth="1"/>
    <col min="8" max="8" width="5.8515625" style="573" customWidth="1"/>
    <col min="9" max="9" width="11.00390625" style="573" customWidth="1"/>
    <col min="10" max="10" width="4.140625" style="573" customWidth="1"/>
    <col min="11" max="11" width="13.421875" style="573" customWidth="1"/>
    <col min="12" max="12" width="12.140625" style="573" customWidth="1"/>
    <col min="13" max="16384" width="9.140625" style="563" customWidth="1"/>
  </cols>
  <sheetData>
    <row r="1" spans="1:12" s="562" customFormat="1" ht="15.75" customHeight="1">
      <c r="A1" s="561"/>
      <c r="B1" s="440"/>
      <c r="C1" s="440"/>
      <c r="D1" s="440"/>
      <c r="E1" s="472"/>
      <c r="F1" s="442" t="s">
        <v>363</v>
      </c>
      <c r="I1" s="656">
        <f>FacePage!B14</f>
        <v>0</v>
      </c>
      <c r="J1" s="50"/>
      <c r="K1" s="50"/>
      <c r="L1" s="50"/>
    </row>
    <row r="2" spans="1:12" ht="3" customHeight="1">
      <c r="A2" s="443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4"/>
    </row>
    <row r="3" spans="1:12" s="564" customFormat="1" ht="19.5" customHeight="1">
      <c r="A3" s="507" t="s">
        <v>203</v>
      </c>
      <c r="B3" s="502"/>
      <c r="C3" s="502"/>
      <c r="D3" s="502"/>
      <c r="E3" s="502"/>
      <c r="F3" s="502"/>
      <c r="G3" s="502"/>
      <c r="H3" s="503"/>
      <c r="I3" s="504"/>
      <c r="J3" s="503"/>
      <c r="K3" s="503"/>
      <c r="L3" s="505"/>
    </row>
    <row r="4" spans="1:12" s="564" customFormat="1" ht="19.5" customHeight="1">
      <c r="A4" s="445" t="s">
        <v>222</v>
      </c>
      <c r="B4" s="446"/>
      <c r="C4" s="446"/>
      <c r="D4" s="446"/>
      <c r="E4" s="446"/>
      <c r="F4" s="446"/>
      <c r="G4" s="446"/>
      <c r="H4" s="447"/>
      <c r="I4" s="448"/>
      <c r="J4" s="447"/>
      <c r="K4" s="447"/>
      <c r="L4" s="449"/>
    </row>
    <row r="5" spans="1:12" s="564" customFormat="1" ht="15" customHeight="1">
      <c r="A5" s="450"/>
      <c r="B5" s="710" t="s">
        <v>328</v>
      </c>
      <c r="C5" s="451"/>
      <c r="D5" s="451"/>
      <c r="E5" s="451"/>
      <c r="F5" s="451"/>
      <c r="G5" s="451"/>
      <c r="H5" s="452"/>
      <c r="I5" s="453"/>
      <c r="J5" s="452"/>
      <c r="K5" s="452"/>
      <c r="L5" s="449"/>
    </row>
    <row r="6" spans="1:12" s="564" customFormat="1" ht="15" customHeight="1">
      <c r="A6" s="450"/>
      <c r="B6" s="710" t="s">
        <v>364</v>
      </c>
      <c r="C6" s="451"/>
      <c r="D6" s="451"/>
      <c r="E6" s="580"/>
      <c r="F6" s="579"/>
      <c r="G6" s="506"/>
      <c r="H6" s="506"/>
      <c r="I6" s="506"/>
      <c r="J6" s="506"/>
      <c r="K6" s="657"/>
      <c r="L6" s="658"/>
    </row>
    <row r="7" spans="1:12" s="564" customFormat="1" ht="14.25" customHeight="1">
      <c r="A7" s="446"/>
      <c r="B7" s="711" t="s">
        <v>365</v>
      </c>
      <c r="C7" s="454"/>
      <c r="D7" s="446"/>
      <c r="E7" s="446"/>
      <c r="F7" s="446"/>
      <c r="G7" s="446"/>
      <c r="H7" s="447"/>
      <c r="I7" s="448"/>
      <c r="J7" s="447"/>
      <c r="K7" s="447"/>
      <c r="L7" s="449"/>
    </row>
    <row r="8" spans="1:12" s="564" customFormat="1" ht="10.5" customHeight="1">
      <c r="A8" s="451"/>
      <c r="B8" s="710"/>
      <c r="C8" s="451"/>
      <c r="D8" s="451"/>
      <c r="E8" s="451"/>
      <c r="F8" s="451"/>
      <c r="G8" s="451"/>
      <c r="I8" s="455" t="s">
        <v>249</v>
      </c>
      <c r="J8" s="451"/>
      <c r="L8" s="446"/>
    </row>
    <row r="9" spans="1:12" s="564" customFormat="1" ht="13.5" customHeight="1">
      <c r="A9" s="450"/>
      <c r="B9" s="710" t="s">
        <v>366</v>
      </c>
      <c r="C9" s="451"/>
      <c r="D9" s="451"/>
      <c r="E9" s="519"/>
      <c r="F9" s="813"/>
      <c r="I9" s="783"/>
      <c r="L9" s="446"/>
    </row>
    <row r="10" spans="1:11" s="565" customFormat="1" ht="15" customHeight="1">
      <c r="A10" s="446"/>
      <c r="B10" s="711" t="s">
        <v>204</v>
      </c>
      <c r="C10" s="454"/>
      <c r="D10" s="446"/>
      <c r="E10" s="446"/>
      <c r="F10" s="446"/>
      <c r="G10" s="524"/>
      <c r="H10" s="456"/>
      <c r="I10" s="724"/>
      <c r="K10" s="455"/>
    </row>
    <row r="11" spans="1:11" s="565" customFormat="1" ht="3.75" customHeight="1">
      <c r="A11" s="446"/>
      <c r="B11" s="712"/>
      <c r="C11" s="460"/>
      <c r="D11" s="446"/>
      <c r="E11" s="446"/>
      <c r="F11" s="446"/>
      <c r="G11" s="446"/>
      <c r="H11" s="457"/>
      <c r="I11" s="458"/>
      <c r="K11" s="459"/>
    </row>
    <row r="12" spans="1:12" s="564" customFormat="1" ht="13.5" customHeight="1">
      <c r="A12" s="450"/>
      <c r="B12" s="710" t="s">
        <v>367</v>
      </c>
      <c r="C12" s="451"/>
      <c r="D12" s="451"/>
      <c r="E12" s="580"/>
      <c r="F12" s="579"/>
      <c r="G12" s="580"/>
      <c r="H12" s="580"/>
      <c r="I12" s="580"/>
      <c r="J12" s="580"/>
      <c r="K12" s="452"/>
      <c r="L12" s="449"/>
    </row>
    <row r="13" spans="1:12" s="566" customFormat="1" ht="13.5" customHeight="1">
      <c r="A13" s="461"/>
      <c r="B13" s="713" t="s">
        <v>205</v>
      </c>
      <c r="C13" s="462"/>
      <c r="D13" s="463"/>
      <c r="E13" s="463"/>
      <c r="F13" s="463"/>
      <c r="G13" s="463"/>
      <c r="H13" s="464"/>
      <c r="I13" s="465"/>
      <c r="J13" s="464"/>
      <c r="K13" s="464"/>
      <c r="L13" s="446"/>
    </row>
    <row r="14" spans="1:12" s="564" customFormat="1" ht="15" customHeight="1">
      <c r="A14" s="450"/>
      <c r="B14" s="710" t="s">
        <v>368</v>
      </c>
      <c r="C14" s="451"/>
      <c r="D14" s="451"/>
      <c r="E14" s="451"/>
      <c r="F14" s="451"/>
      <c r="G14" s="451"/>
      <c r="H14" s="452"/>
      <c r="I14" s="453"/>
      <c r="J14" s="452"/>
      <c r="K14" s="452"/>
      <c r="L14" s="449"/>
    </row>
    <row r="15" spans="1:12" s="564" customFormat="1" ht="14.25" customHeight="1">
      <c r="A15" s="451"/>
      <c r="B15" s="710" t="s">
        <v>306</v>
      </c>
      <c r="C15" s="446"/>
      <c r="D15" s="446"/>
      <c r="E15" s="446"/>
      <c r="F15" s="441"/>
      <c r="G15" s="581"/>
      <c r="H15" s="580"/>
      <c r="I15" s="580"/>
      <c r="J15" s="580"/>
      <c r="K15" s="452"/>
      <c r="L15" s="449"/>
    </row>
    <row r="16" spans="1:12" s="564" customFormat="1" ht="15.75" customHeight="1">
      <c r="A16" s="451"/>
      <c r="B16" s="710" t="s">
        <v>304</v>
      </c>
      <c r="C16" s="446"/>
      <c r="D16" s="670"/>
      <c r="E16" s="659" t="s">
        <v>305</v>
      </c>
      <c r="F16" s="441"/>
      <c r="G16" s="581"/>
      <c r="H16" s="580"/>
      <c r="I16" s="580"/>
      <c r="J16" s="580"/>
      <c r="K16" s="452"/>
      <c r="L16" s="449"/>
    </row>
    <row r="17" spans="1:12" s="564" customFormat="1" ht="23.25" customHeight="1">
      <c r="A17" s="777"/>
      <c r="B17" s="778" t="s">
        <v>300</v>
      </c>
      <c r="C17" s="779"/>
      <c r="D17" s="780" t="s">
        <v>332</v>
      </c>
      <c r="E17" s="660"/>
      <c r="F17" s="519"/>
      <c r="G17" s="1111" t="s">
        <v>301</v>
      </c>
      <c r="H17" s="1112"/>
      <c r="I17" s="816"/>
      <c r="J17" s="657"/>
      <c r="K17" s="657"/>
      <c r="L17" s="658"/>
    </row>
    <row r="18" spans="1:12" s="564" customFormat="1" ht="12.75">
      <c r="A18" s="817" t="s">
        <v>369</v>
      </c>
      <c r="B18" s="712"/>
      <c r="C18" s="446"/>
      <c r="D18" s="814"/>
      <c r="F18" s="451"/>
      <c r="G18" s="785"/>
      <c r="H18"/>
      <c r="I18" s="453"/>
      <c r="J18" s="452"/>
      <c r="K18" s="452"/>
      <c r="L18" s="449"/>
    </row>
    <row r="19" spans="1:12" s="564" customFormat="1" ht="17.25" customHeight="1">
      <c r="A19" s="818"/>
      <c r="B19" s="778"/>
      <c r="C19" s="779"/>
      <c r="D19" s="780"/>
      <c r="E19" s="660"/>
      <c r="F19" s="819" t="s">
        <v>370</v>
      </c>
      <c r="G19" s="815"/>
      <c r="H19" s="693"/>
      <c r="I19" s="816"/>
      <c r="J19" s="657"/>
      <c r="K19" s="657"/>
      <c r="L19" s="658"/>
    </row>
    <row r="20" spans="1:12" s="567" customFormat="1" ht="12" customHeight="1">
      <c r="A20" s="520" t="s">
        <v>303</v>
      </c>
      <c r="B20" s="294"/>
      <c r="C20" s="294"/>
      <c r="D20" s="451"/>
      <c r="E20" s="451"/>
      <c r="F20" s="294"/>
      <c r="G20" s="451"/>
      <c r="H20" s="451"/>
      <c r="I20" s="451"/>
      <c r="J20" s="451"/>
      <c r="K20" s="451"/>
      <c r="L20" s="451"/>
    </row>
    <row r="21" spans="1:12" s="568" customFormat="1" ht="9.75" customHeight="1">
      <c r="A21" s="471" t="s">
        <v>206</v>
      </c>
      <c r="B21" s="471"/>
      <c r="C21" s="471"/>
      <c r="D21" s="461"/>
      <c r="E21" s="461"/>
      <c r="F21" s="472"/>
      <c r="G21" s="461"/>
      <c r="H21" s="461"/>
      <c r="I21" s="461"/>
      <c r="J21" s="461"/>
      <c r="K21" s="461"/>
      <c r="L21" s="451"/>
    </row>
    <row r="22" spans="1:12" s="569" customFormat="1" ht="15" customHeight="1">
      <c r="A22" s="508" t="s">
        <v>207</v>
      </c>
      <c r="B22" s="509"/>
      <c r="C22" s="509"/>
      <c r="D22" s="463"/>
      <c r="E22" s="463"/>
      <c r="F22" s="373"/>
      <c r="G22" s="463"/>
      <c r="H22" s="463"/>
      <c r="I22" s="463"/>
      <c r="J22" s="463"/>
      <c r="K22" s="463"/>
      <c r="L22" s="463"/>
    </row>
    <row r="23" spans="1:12" s="569" customFormat="1" ht="12.75" customHeight="1">
      <c r="A23" s="510" t="s">
        <v>208</v>
      </c>
      <c r="B23" s="510"/>
      <c r="C23" s="510"/>
      <c r="D23" s="510"/>
      <c r="E23" s="512" t="s">
        <v>209</v>
      </c>
      <c r="F23" s="510"/>
      <c r="G23" s="510"/>
      <c r="H23" s="515"/>
      <c r="I23" s="512" t="s">
        <v>210</v>
      </c>
      <c r="J23" s="510"/>
      <c r="K23" s="510"/>
      <c r="L23" s="511"/>
    </row>
    <row r="24" spans="1:12" s="569" customFormat="1" ht="12.75" customHeight="1">
      <c r="A24" s="473"/>
      <c r="B24" s="570"/>
      <c r="C24" s="570"/>
      <c r="D24" s="474"/>
      <c r="E24" s="513"/>
      <c r="F24" s="571"/>
      <c r="G24" s="474"/>
      <c r="H24" s="474"/>
      <c r="I24" s="513"/>
      <c r="J24" s="473"/>
      <c r="K24" s="571"/>
      <c r="L24" s="475"/>
    </row>
    <row r="25" spans="1:12" s="569" customFormat="1" ht="12.75" customHeight="1">
      <c r="A25" s="473"/>
      <c r="B25" s="473"/>
      <c r="C25" s="473"/>
      <c r="D25" s="474"/>
      <c r="E25" s="514"/>
      <c r="F25" s="473"/>
      <c r="G25" s="474"/>
      <c r="H25" s="474"/>
      <c r="I25" s="514"/>
      <c r="J25" s="473"/>
      <c r="K25" s="473"/>
      <c r="L25" s="475"/>
    </row>
    <row r="26" spans="1:12" s="569" customFormat="1" ht="12.75" customHeight="1">
      <c r="A26" s="473"/>
      <c r="B26" s="473"/>
      <c r="C26" s="473"/>
      <c r="D26" s="474"/>
      <c r="E26" s="514"/>
      <c r="F26" s="473"/>
      <c r="G26" s="474"/>
      <c r="H26" s="474"/>
      <c r="I26" s="514"/>
      <c r="J26" s="473"/>
      <c r="K26" s="473"/>
      <c r="L26" s="475"/>
    </row>
    <row r="27" spans="1:12" s="569" customFormat="1" ht="12.75" customHeight="1">
      <c r="A27" s="473"/>
      <c r="B27" s="473"/>
      <c r="C27" s="473"/>
      <c r="D27" s="474"/>
      <c r="E27" s="514"/>
      <c r="F27" s="473"/>
      <c r="G27" s="474"/>
      <c r="H27" s="474"/>
      <c r="I27" s="514"/>
      <c r="J27" s="473"/>
      <c r="K27" s="473"/>
      <c r="L27" s="475"/>
    </row>
    <row r="28" spans="1:12" s="569" customFormat="1" ht="6" customHeight="1">
      <c r="A28" s="516"/>
      <c r="B28" s="516"/>
      <c r="C28" s="516"/>
      <c r="D28" s="516"/>
      <c r="E28" s="517"/>
      <c r="F28" s="516"/>
      <c r="G28" s="516"/>
      <c r="H28" s="516"/>
      <c r="I28" s="517"/>
      <c r="J28" s="516"/>
      <c r="K28" s="516"/>
      <c r="L28" s="518"/>
    </row>
    <row r="29" spans="1:12" s="569" customFormat="1" ht="12" customHeight="1">
      <c r="A29" s="466" t="s">
        <v>235</v>
      </c>
      <c r="B29" s="467"/>
      <c r="C29" s="467"/>
      <c r="D29" s="467"/>
      <c r="E29" s="468"/>
      <c r="F29" s="469"/>
      <c r="G29" s="468"/>
      <c r="H29" s="468"/>
      <c r="I29" s="468"/>
      <c r="J29" s="468"/>
      <c r="K29" s="468"/>
      <c r="L29" s="470"/>
    </row>
    <row r="30" spans="1:12" s="572" customFormat="1" ht="11.25">
      <c r="A30" s="823" t="s">
        <v>374</v>
      </c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8"/>
    </row>
    <row r="31" spans="1:12" s="572" customFormat="1" ht="11.25">
      <c r="A31" s="824" t="s">
        <v>375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8"/>
    </row>
    <row r="32" spans="1:12" s="572" customFormat="1" ht="11.25">
      <c r="A32" s="477" t="s">
        <v>376</v>
      </c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8"/>
    </row>
    <row r="33" spans="1:12" s="572" customFormat="1" ht="5.25" customHeight="1">
      <c r="A33" s="296"/>
      <c r="B33" s="479"/>
      <c r="C33" s="479"/>
      <c r="D33" s="479"/>
      <c r="E33" s="479"/>
      <c r="F33" s="479"/>
      <c r="G33" s="479"/>
      <c r="H33" s="479"/>
      <c r="I33" s="479"/>
      <c r="J33" s="479"/>
      <c r="K33" s="479"/>
      <c r="L33" s="479"/>
    </row>
    <row r="34" spans="1:12" s="572" customFormat="1" ht="13.5" customHeight="1">
      <c r="A34" s="522" t="s">
        <v>236</v>
      </c>
      <c r="B34" s="521"/>
      <c r="C34" s="521"/>
      <c r="D34" s="521"/>
      <c r="E34" s="521"/>
      <c r="F34" s="521"/>
      <c r="G34" s="521"/>
      <c r="H34" s="521"/>
      <c r="I34" s="521"/>
      <c r="J34" s="521"/>
      <c r="K34" s="521"/>
      <c r="L34" s="521"/>
    </row>
    <row r="35" spans="1:12" s="572" customFormat="1" ht="15" customHeight="1">
      <c r="A35" s="480" t="s">
        <v>104</v>
      </c>
      <c r="B35" s="714" t="s">
        <v>211</v>
      </c>
      <c r="C35" s="476"/>
      <c r="D35" s="479"/>
      <c r="E35" s="608">
        <v>42496</v>
      </c>
      <c r="F35" s="587" t="s">
        <v>249</v>
      </c>
      <c r="G35" s="523"/>
      <c r="H35" s="481"/>
      <c r="I35" s="717" t="s">
        <v>237</v>
      </c>
      <c r="J35" s="479"/>
      <c r="K35" s="479"/>
      <c r="L35" s="479"/>
    </row>
    <row r="36" spans="1:12" s="572" customFormat="1" ht="6" customHeight="1">
      <c r="A36" s="482"/>
      <c r="B36" s="715"/>
      <c r="C36" s="441"/>
      <c r="D36" s="479"/>
      <c r="E36" s="479"/>
      <c r="F36" s="479"/>
      <c r="G36" s="479"/>
      <c r="H36" s="479"/>
      <c r="I36" s="479"/>
      <c r="J36" s="479"/>
      <c r="K36" s="479"/>
      <c r="L36" s="479"/>
    </row>
    <row r="37" spans="1:12" s="572" customFormat="1" ht="15" customHeight="1">
      <c r="A37" s="450"/>
      <c r="B37" s="714" t="s">
        <v>212</v>
      </c>
      <c r="C37" s="476"/>
      <c r="D37" s="479"/>
      <c r="E37" s="479"/>
      <c r="F37" s="524"/>
      <c r="H37" s="525"/>
      <c r="J37" s="716" t="s">
        <v>302</v>
      </c>
      <c r="K37" s="479"/>
      <c r="L37" s="479"/>
    </row>
    <row r="38" spans="1:12" s="572" customFormat="1" ht="5.25" customHeight="1">
      <c r="A38" s="296"/>
      <c r="B38" s="716"/>
      <c r="C38" s="479"/>
      <c r="D38" s="479"/>
      <c r="E38" s="479"/>
      <c r="F38" s="479"/>
      <c r="G38" s="479"/>
      <c r="H38" s="479"/>
      <c r="I38" s="479"/>
      <c r="J38" s="479"/>
      <c r="K38" s="479"/>
      <c r="L38" s="479"/>
    </row>
    <row r="39" spans="1:12" s="572" customFormat="1" ht="18" customHeight="1">
      <c r="A39" s="450"/>
      <c r="B39" s="714" t="s">
        <v>213</v>
      </c>
      <c r="C39" s="476"/>
      <c r="D39" s="479"/>
      <c r="E39" s="479"/>
      <c r="F39" s="524" t="s">
        <v>214</v>
      </c>
      <c r="G39" s="524"/>
      <c r="H39" s="524"/>
      <c r="I39" s="524"/>
      <c r="J39" s="479" t="s">
        <v>215</v>
      </c>
      <c r="K39" s="526"/>
      <c r="L39" s="479"/>
    </row>
    <row r="40" spans="1:12" s="572" customFormat="1" ht="7.5" customHeight="1">
      <c r="A40" s="296"/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</row>
    <row r="41" spans="1:12" s="572" customFormat="1" ht="13.5" customHeight="1">
      <c r="A41" s="476" t="s">
        <v>223</v>
      </c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</row>
    <row r="42" spans="1:12" s="572" customFormat="1" ht="5.25" customHeight="1">
      <c r="A42" s="483"/>
      <c r="B42" s="484"/>
      <c r="C42" s="484"/>
      <c r="D42" s="484"/>
      <c r="E42" s="484"/>
      <c r="F42" s="484"/>
      <c r="G42" s="484"/>
      <c r="H42" s="484"/>
      <c r="I42" s="484"/>
      <c r="J42" s="484"/>
      <c r="K42" s="484"/>
      <c r="L42" s="485"/>
    </row>
    <row r="43" spans="1:12" s="572" customFormat="1" ht="18" customHeight="1">
      <c r="A43" s="714" t="s">
        <v>216</v>
      </c>
      <c r="B43" s="441"/>
      <c r="C43" s="441"/>
      <c r="D43" s="476"/>
      <c r="E43" s="718" t="s">
        <v>217</v>
      </c>
      <c r="F43" s="527">
        <f>IF(Modules!B30&gt;0,IDC!F13,IDC!F41)</f>
        <v>0</v>
      </c>
      <c r="G43" s="717" t="s">
        <v>218</v>
      </c>
      <c r="H43" s="487"/>
      <c r="I43" s="901">
        <f>(IF(Modules!B30&gt;0,IDC!J13,IDC!J41))/100</f>
        <v>0</v>
      </c>
      <c r="J43" s="719" t="s">
        <v>242</v>
      </c>
      <c r="K43" s="719"/>
      <c r="L43" s="527">
        <f>IF(Modules!B30&gt;0,IDC!N13,IDC!N41)</f>
        <v>0</v>
      </c>
    </row>
    <row r="44" spans="1:12" s="572" customFormat="1" ht="18" customHeight="1">
      <c r="A44" s="714" t="s">
        <v>238</v>
      </c>
      <c r="B44" s="441"/>
      <c r="C44" s="441"/>
      <c r="D44" s="476"/>
      <c r="E44" s="718" t="s">
        <v>217</v>
      </c>
      <c r="F44" s="527">
        <f>IF(Modules!C30&gt;0,IDC!F15,IDC!F43)</f>
        <v>0</v>
      </c>
      <c r="G44" s="717" t="s">
        <v>218</v>
      </c>
      <c r="H44" s="487"/>
      <c r="I44" s="901">
        <f>(IF(Modules!C30&gt;0,IDC!J15,IDC!J43))/100</f>
        <v>0</v>
      </c>
      <c r="J44" s="719" t="s">
        <v>242</v>
      </c>
      <c r="K44" s="719"/>
      <c r="L44" s="527">
        <f>IF(Modules!C30&gt;0,IDC!N15,IDC!N43)</f>
        <v>0</v>
      </c>
    </row>
    <row r="45" spans="1:12" s="572" customFormat="1" ht="18" customHeight="1">
      <c r="A45" s="714" t="s">
        <v>239</v>
      </c>
      <c r="B45" s="441"/>
      <c r="C45" s="441"/>
      <c r="D45" s="476"/>
      <c r="E45" s="718" t="s">
        <v>217</v>
      </c>
      <c r="F45" s="527">
        <f>IF(Modules!D30&gt;0,IDC!F17,IDC!F45)</f>
        <v>0</v>
      </c>
      <c r="G45" s="717" t="s">
        <v>218</v>
      </c>
      <c r="H45" s="487"/>
      <c r="I45" s="901">
        <f>(IF(Modules!D30&gt;0,IDC!J17,IDC!J45))/100</f>
        <v>0</v>
      </c>
      <c r="J45" s="719" t="s">
        <v>242</v>
      </c>
      <c r="K45" s="719"/>
      <c r="L45" s="527">
        <f>IF(Modules!D30&gt;0,IDC!N17,IDC!N45)</f>
        <v>0</v>
      </c>
    </row>
    <row r="46" spans="1:12" s="572" customFormat="1" ht="18" customHeight="1">
      <c r="A46" s="714" t="s">
        <v>240</v>
      </c>
      <c r="B46" s="441"/>
      <c r="C46" s="441"/>
      <c r="D46" s="476"/>
      <c r="E46" s="718" t="s">
        <v>217</v>
      </c>
      <c r="F46" s="527">
        <f>IF(Modules!E30&gt;0,IDC!F19,IDC!F47)</f>
        <v>0</v>
      </c>
      <c r="G46" s="717" t="s">
        <v>218</v>
      </c>
      <c r="H46" s="487"/>
      <c r="I46" s="901">
        <f>(IF(Modules!E30&gt;0,IDC!J19,IDC!J47))/100</f>
        <v>0</v>
      </c>
      <c r="J46" s="719" t="s">
        <v>242</v>
      </c>
      <c r="K46" s="719"/>
      <c r="L46" s="527">
        <f>IF(Modules!E30&gt;0,IDC!N19,IDC!N47)</f>
        <v>0</v>
      </c>
    </row>
    <row r="47" spans="1:12" s="572" customFormat="1" ht="18" customHeight="1" thickBot="1">
      <c r="A47" s="714" t="s">
        <v>241</v>
      </c>
      <c r="B47" s="441"/>
      <c r="C47" s="441"/>
      <c r="D47" s="476"/>
      <c r="E47" s="718" t="s">
        <v>217</v>
      </c>
      <c r="F47" s="527">
        <f>IF(Modules!F30&gt;0,IDC!F21,IDC!F49)</f>
        <v>0</v>
      </c>
      <c r="G47" s="717" t="s">
        <v>218</v>
      </c>
      <c r="H47" s="487"/>
      <c r="I47" s="901">
        <f>(IF(Modules!F30&gt;0,IDC!J21,IDC!J49))/100</f>
        <v>0</v>
      </c>
      <c r="J47" s="719" t="s">
        <v>242</v>
      </c>
      <c r="K47" s="719"/>
      <c r="L47" s="574">
        <f>IF(Modules!F30&gt;0,IDC!N21,IDC!N49)</f>
        <v>0</v>
      </c>
    </row>
    <row r="48" spans="1:12" s="572" customFormat="1" ht="22.5" customHeight="1" thickBot="1">
      <c r="A48" s="476"/>
      <c r="B48" s="441"/>
      <c r="C48" s="441"/>
      <c r="D48" s="476"/>
      <c r="E48" s="486"/>
      <c r="F48" s="574"/>
      <c r="G48" s="471"/>
      <c r="H48" s="487"/>
      <c r="I48" s="575"/>
      <c r="J48" s="487"/>
      <c r="K48" s="718" t="s">
        <v>243</v>
      </c>
      <c r="L48" s="661">
        <f>IF(Modules!G30&gt;0,IDC!N24,IDC!N52)</f>
        <v>0</v>
      </c>
    </row>
    <row r="49" spans="1:12" s="572" customFormat="1" ht="18.75" customHeight="1">
      <c r="A49" s="488" t="s">
        <v>219</v>
      </c>
      <c r="B49" s="476"/>
      <c r="C49" s="476"/>
      <c r="D49" s="476"/>
      <c r="E49" s="476"/>
      <c r="F49" s="476"/>
      <c r="G49" s="476"/>
      <c r="H49" s="476"/>
      <c r="I49" s="476"/>
      <c r="J49" s="476"/>
      <c r="K49" s="476"/>
      <c r="L49" s="476"/>
    </row>
    <row r="50" spans="1:12" s="572" customFormat="1" ht="17.25" customHeight="1">
      <c r="A50" s="450"/>
      <c r="B50" s="720" t="s">
        <v>220</v>
      </c>
      <c r="C50" s="488"/>
      <c r="D50" s="476"/>
      <c r="E50" s="480" t="s">
        <v>188</v>
      </c>
      <c r="F50" s="723" t="s">
        <v>221</v>
      </c>
      <c r="G50" s="476"/>
      <c r="H50" s="476"/>
      <c r="I50" s="476"/>
      <c r="J50" s="450"/>
      <c r="K50" s="720" t="s">
        <v>331</v>
      </c>
      <c r="L50" s="476"/>
    </row>
    <row r="51" spans="1:12" s="572" customFormat="1" ht="15" customHeight="1">
      <c r="A51" s="480"/>
      <c r="B51" s="721" t="s">
        <v>329</v>
      </c>
      <c r="C51" s="489"/>
      <c r="D51" s="489"/>
      <c r="E51" s="489"/>
      <c r="F51" s="489"/>
      <c r="G51" s="489"/>
      <c r="H51" s="489"/>
      <c r="I51" s="489"/>
      <c r="J51" s="489"/>
      <c r="K51" s="489"/>
      <c r="L51" s="489"/>
    </row>
    <row r="52" spans="1:12" ht="18.75" customHeight="1">
      <c r="A52" s="722" t="s">
        <v>330</v>
      </c>
      <c r="B52" s="722"/>
      <c r="C52" s="508"/>
      <c r="D52" s="508"/>
      <c r="E52" s="508"/>
      <c r="F52" s="662" t="s">
        <v>249</v>
      </c>
      <c r="G52" s="508"/>
      <c r="H52" s="508"/>
      <c r="I52" s="508"/>
      <c r="J52" s="508"/>
      <c r="K52" s="508"/>
      <c r="L52" s="508"/>
    </row>
    <row r="53" spans="1:12" ht="55.5" customHeight="1">
      <c r="A53" s="663"/>
      <c r="B53" s="664"/>
      <c r="C53" s="664"/>
      <c r="D53" s="664"/>
      <c r="E53" s="519"/>
      <c r="F53" s="519"/>
      <c r="G53" s="664"/>
      <c r="H53" s="664"/>
      <c r="I53" s="664"/>
      <c r="J53" s="664"/>
      <c r="K53" s="664"/>
      <c r="L53" s="664"/>
    </row>
    <row r="54" spans="1:12" ht="12.75">
      <c r="A54" s="821" t="s">
        <v>373</v>
      </c>
      <c r="B54" s="820"/>
      <c r="C54" s="820"/>
      <c r="D54" s="820"/>
      <c r="E54" s="451"/>
      <c r="F54" s="451"/>
      <c r="G54" s="820"/>
      <c r="H54" s="820"/>
      <c r="I54" s="820"/>
      <c r="J54" s="820"/>
      <c r="K54" s="820"/>
      <c r="L54" s="820"/>
    </row>
    <row r="55" spans="1:12" ht="12.75">
      <c r="A55" s="822" t="s">
        <v>371</v>
      </c>
      <c r="B55" s="820"/>
      <c r="C55" s="820"/>
      <c r="D55" s="820"/>
      <c r="E55" s="451"/>
      <c r="F55" s="451"/>
      <c r="G55" s="820"/>
      <c r="H55" s="820"/>
      <c r="I55" s="820"/>
      <c r="J55" s="820"/>
      <c r="K55" s="820"/>
      <c r="L55" s="820"/>
    </row>
    <row r="56" spans="1:12" ht="12.75">
      <c r="A56" s="822" t="s">
        <v>372</v>
      </c>
      <c r="B56" s="820"/>
      <c r="C56" s="820"/>
      <c r="D56" s="820"/>
      <c r="E56" s="451"/>
      <c r="F56" s="451"/>
      <c r="G56" s="820"/>
      <c r="H56" s="820"/>
      <c r="I56" s="820"/>
      <c r="J56" s="820"/>
      <c r="K56" s="820"/>
      <c r="L56" s="820"/>
    </row>
    <row r="57" spans="1:12" s="564" customFormat="1" ht="18" customHeight="1">
      <c r="A57" s="900" t="s">
        <v>399</v>
      </c>
      <c r="B57" s="665"/>
      <c r="C57" s="665"/>
      <c r="D57" s="665"/>
      <c r="E57" s="324"/>
      <c r="F57" s="666" t="s">
        <v>75</v>
      </c>
      <c r="G57" s="667"/>
      <c r="H57" s="324"/>
      <c r="I57" s="668"/>
      <c r="J57" s="668"/>
      <c r="K57" s="668"/>
      <c r="L57" s="669" t="s">
        <v>244</v>
      </c>
    </row>
    <row r="58" spans="1:12" ht="1.5" customHeight="1">
      <c r="A58" s="563"/>
      <c r="B58" s="563"/>
      <c r="C58" s="563"/>
      <c r="D58" s="563"/>
      <c r="E58" s="563"/>
      <c r="F58" s="563"/>
      <c r="G58" s="563"/>
      <c r="H58" s="563"/>
      <c r="I58" s="563"/>
      <c r="J58" s="563"/>
      <c r="K58" s="563"/>
      <c r="L58" s="563"/>
    </row>
    <row r="59" spans="1:12" ht="12.75">
      <c r="A59" s="563"/>
      <c r="B59" s="563"/>
      <c r="C59" s="563"/>
      <c r="D59" s="563"/>
      <c r="E59" s="563"/>
      <c r="F59" s="563"/>
      <c r="G59" s="563"/>
      <c r="H59" s="563"/>
      <c r="I59" s="563"/>
      <c r="J59" s="563"/>
      <c r="K59" s="563"/>
      <c r="L59" s="563"/>
    </row>
  </sheetData>
  <sheetProtection sheet="1"/>
  <mergeCells count="1">
    <mergeCell ref="G17:H17"/>
  </mergeCells>
  <printOptions/>
  <pageMargins left="0.4" right="0.375" top="0.4" bottom="0.15" header="0" footer="0"/>
  <pageSetup fitToHeight="1" fitToWidth="1" orientation="portrait" scale="8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G41"/>
  <sheetViews>
    <sheetView showGridLines="0" zoomScale="75" zoomScaleNormal="75" zoomScalePageLayoutView="0" workbookViewId="0" topLeftCell="A1">
      <selection activeCell="B30" sqref="B30"/>
    </sheetView>
  </sheetViews>
  <sheetFormatPr defaultColWidth="6.8515625" defaultRowHeight="12.75"/>
  <cols>
    <col min="1" max="1" width="39.57421875" style="240" customWidth="1"/>
    <col min="2" max="2" width="15.8515625" style="240" customWidth="1"/>
    <col min="3" max="3" width="15.7109375" style="240" customWidth="1"/>
    <col min="4" max="5" width="15.57421875" style="240" customWidth="1"/>
    <col min="6" max="6" width="15.7109375" style="240" customWidth="1"/>
    <col min="7" max="7" width="15.57421875" style="240" customWidth="1"/>
    <col min="8" max="16384" width="6.8515625" style="240" customWidth="1"/>
  </cols>
  <sheetData>
    <row r="1" ht="15">
      <c r="A1" s="239" t="s">
        <v>110</v>
      </c>
    </row>
    <row r="2" spans="1:2" ht="15">
      <c r="A2" s="239" t="s">
        <v>111</v>
      </c>
      <c r="B2" s="578">
        <f>FacePage!$B$14</f>
        <v>0</v>
      </c>
    </row>
    <row r="3" spans="1:7" ht="15">
      <c r="A3" s="241"/>
      <c r="B3" s="242" t="s">
        <v>112</v>
      </c>
      <c r="C3" s="242" t="s">
        <v>113</v>
      </c>
      <c r="D3" s="242" t="s">
        <v>114</v>
      </c>
      <c r="E3" s="242" t="s">
        <v>115</v>
      </c>
      <c r="F3" s="242" t="s">
        <v>116</v>
      </c>
      <c r="G3" s="243" t="s">
        <v>22</v>
      </c>
    </row>
    <row r="4" spans="1:7" ht="15">
      <c r="A4" s="244" t="s">
        <v>117</v>
      </c>
      <c r="B4" s="245">
        <f>+'Total Page'!C24</f>
        <v>0</v>
      </c>
      <c r="C4" s="245">
        <f>+'Total Page'!D24</f>
        <v>0</v>
      </c>
      <c r="D4" s="245">
        <f>+'Total Page'!E24</f>
        <v>0</v>
      </c>
      <c r="E4" s="245">
        <f>+'Total Page'!F24</f>
        <v>0</v>
      </c>
      <c r="F4" s="245">
        <f>+'Total Page'!G24</f>
        <v>0</v>
      </c>
      <c r="G4" s="246">
        <f>SUM(B4:F4)</f>
        <v>0</v>
      </c>
    </row>
    <row r="5" spans="1:7" ht="15">
      <c r="A5" s="247" t="s">
        <v>118</v>
      </c>
      <c r="B5" s="248">
        <f>IF($F$4&gt;0,5,IF($E$4&gt;0,4,IF($D$4&gt;0,3,IF($C$4&gt;0,2,1))))</f>
        <v>1</v>
      </c>
      <c r="C5" s="248"/>
      <c r="D5" s="248"/>
      <c r="E5" s="248"/>
      <c r="F5" s="248"/>
      <c r="G5" s="249"/>
    </row>
    <row r="6" spans="1:7" ht="15">
      <c r="A6" s="250"/>
      <c r="B6" s="251"/>
      <c r="C6" s="251"/>
      <c r="D6" s="251"/>
      <c r="E6" s="251"/>
      <c r="F6" s="251"/>
      <c r="G6" s="251"/>
    </row>
    <row r="7" spans="1:7" ht="15">
      <c r="A7" s="252" t="s">
        <v>119</v>
      </c>
      <c r="B7" s="253"/>
      <c r="C7" s="254" t="str">
        <f>IF(G14&lt;0,"down","up")</f>
        <v>up</v>
      </c>
      <c r="D7" s="254" t="s">
        <v>120</v>
      </c>
      <c r="E7" s="253"/>
      <c r="F7" s="253"/>
      <c r="G7" s="255"/>
    </row>
    <row r="8" spans="1:7" ht="15">
      <c r="A8" s="256" t="s">
        <v>121</v>
      </c>
      <c r="B8" s="245">
        <f>IF(G4&gt;0,IF(G4&lt;12500,25000,(25000*B5*(ROUND(G4/B5/25000,0)))),0)</f>
        <v>0</v>
      </c>
      <c r="C8" s="251"/>
      <c r="D8" s="257"/>
      <c r="E8" s="257"/>
      <c r="F8" s="257"/>
      <c r="G8" s="258"/>
    </row>
    <row r="9" spans="1:7" ht="15">
      <c r="A9" s="256"/>
      <c r="B9" s="257"/>
      <c r="C9" s="251"/>
      <c r="D9" s="257"/>
      <c r="E9" s="257"/>
      <c r="F9" s="257"/>
      <c r="G9" s="258"/>
    </row>
    <row r="10" spans="1:7" ht="15">
      <c r="A10" s="256" t="s">
        <v>122</v>
      </c>
      <c r="B10" s="251">
        <f>IF($B$5&lt;1,0,+($B$8/25000)/$B$5)</f>
        <v>0</v>
      </c>
      <c r="C10" s="251">
        <f>IF($B$5&lt;2,0,+($B$8/25000)/$B$5)</f>
        <v>0</v>
      </c>
      <c r="D10" s="251">
        <f>IF($B$5&lt;3,0,+($B$8/25000)/$B$5)</f>
        <v>0</v>
      </c>
      <c r="E10" s="251">
        <f>IF($B$5&lt;4,0,+($B$8/25000)/$B$5)</f>
        <v>0</v>
      </c>
      <c r="F10" s="251">
        <f>IF($B$5&lt;5,0,+($B$8/25000)/$B$5)</f>
        <v>0</v>
      </c>
      <c r="G10" s="259">
        <f>SUM(B10:F10)</f>
        <v>0</v>
      </c>
    </row>
    <row r="11" spans="1:7" ht="15">
      <c r="A11" s="244"/>
      <c r="B11" s="251"/>
      <c r="C11" s="251"/>
      <c r="D11" s="251"/>
      <c r="E11" s="251"/>
      <c r="F11" s="251"/>
      <c r="G11" s="259"/>
    </row>
    <row r="12" spans="1:7" ht="15">
      <c r="A12" s="256" t="s">
        <v>123</v>
      </c>
      <c r="B12" s="245">
        <f>+B10*25000</f>
        <v>0</v>
      </c>
      <c r="C12" s="245">
        <f>+C10*25000</f>
        <v>0</v>
      </c>
      <c r="D12" s="245">
        <f>+D10*25000</f>
        <v>0</v>
      </c>
      <c r="E12" s="245">
        <f>+E10*25000</f>
        <v>0</v>
      </c>
      <c r="F12" s="245">
        <f>+F10*25000</f>
        <v>0</v>
      </c>
      <c r="G12" s="246">
        <f>SUM(B12:F12)</f>
        <v>0</v>
      </c>
    </row>
    <row r="13" spans="1:7" ht="15">
      <c r="A13" s="244"/>
      <c r="B13" s="260"/>
      <c r="C13" s="260"/>
      <c r="D13" s="260"/>
      <c r="E13" s="260"/>
      <c r="F13" s="260"/>
      <c r="G13" s="261"/>
    </row>
    <row r="14" spans="1:7" ht="15">
      <c r="A14" s="244" t="s">
        <v>124</v>
      </c>
      <c r="B14" s="245">
        <f>+B12-$B$4</f>
        <v>0</v>
      </c>
      <c r="C14" s="245">
        <f>+C12-$C$4</f>
        <v>0</v>
      </c>
      <c r="D14" s="245">
        <f>+D12-$D$4</f>
        <v>0</v>
      </c>
      <c r="E14" s="245">
        <f>+E12-$E$4</f>
        <v>0</v>
      </c>
      <c r="F14" s="245">
        <f>+F12-$F$4</f>
        <v>0</v>
      </c>
      <c r="G14" s="246">
        <f>+G12-$G$4</f>
        <v>0</v>
      </c>
    </row>
    <row r="15" spans="1:7" ht="15">
      <c r="A15" s="262" t="s">
        <v>125</v>
      </c>
      <c r="B15" s="263" t="e">
        <f>+B14/$B$4</f>
        <v>#DIV/0!</v>
      </c>
      <c r="C15" s="263" t="e">
        <f>+C14/$C$4</f>
        <v>#DIV/0!</v>
      </c>
      <c r="D15" s="263" t="e">
        <f>+D14/$D$4</f>
        <v>#DIV/0!</v>
      </c>
      <c r="E15" s="263" t="e">
        <f>+E14/$E$4</f>
        <v>#DIV/0!</v>
      </c>
      <c r="F15" s="263" t="e">
        <f>+F14/$F$4</f>
        <v>#DIV/0!</v>
      </c>
      <c r="G15" s="264" t="e">
        <f>+G14/$G$4</f>
        <v>#DIV/0!</v>
      </c>
    </row>
    <row r="17" spans="1:7" ht="15">
      <c r="A17" s="252" t="s">
        <v>126</v>
      </c>
      <c r="B17" s="253"/>
      <c r="C17" s="254" t="str">
        <f>IF(C7="down","up","down")</f>
        <v>down</v>
      </c>
      <c r="D17" s="254" t="s">
        <v>120</v>
      </c>
      <c r="E17" s="253"/>
      <c r="F17" s="253"/>
      <c r="G17" s="255"/>
    </row>
    <row r="18" spans="1:7" ht="15">
      <c r="A18" s="256" t="s">
        <v>122</v>
      </c>
      <c r="B18" s="251">
        <f>IF($C$17="up",(B10+1),(B10-1))</f>
        <v>-1</v>
      </c>
      <c r="C18" s="251">
        <f>IF($B$5&lt;2,0,(IF($C$17="up",(C10+1),(C10-1))))</f>
        <v>0</v>
      </c>
      <c r="D18" s="251">
        <f>IF($B$5&lt;3,0,(IF($C$17="up",(D10+1),(D10-1))))</f>
        <v>0</v>
      </c>
      <c r="E18" s="251">
        <f>IF($B$5&lt;4,0,(IF($C$17="up",(E10+1),(E10-1))))</f>
        <v>0</v>
      </c>
      <c r="F18" s="251">
        <f>IF($B$5&lt;5,0,(IF($C$17="up",(F10+1),(F10-1))))</f>
        <v>0</v>
      </c>
      <c r="G18" s="259">
        <f>SUM(B18:F18)</f>
        <v>-1</v>
      </c>
    </row>
    <row r="19" spans="1:7" ht="15">
      <c r="A19" s="244"/>
      <c r="B19" s="251"/>
      <c r="C19" s="251"/>
      <c r="D19" s="251"/>
      <c r="E19" s="251"/>
      <c r="F19" s="251"/>
      <c r="G19" s="259"/>
    </row>
    <row r="20" spans="1:7" ht="15">
      <c r="A20" s="256" t="s">
        <v>123</v>
      </c>
      <c r="B20" s="245">
        <f>+B18*25000</f>
        <v>-25000</v>
      </c>
      <c r="C20" s="245">
        <f>+C18*25000</f>
        <v>0</v>
      </c>
      <c r="D20" s="245">
        <f>+D18*25000</f>
        <v>0</v>
      </c>
      <c r="E20" s="245">
        <f>+E18*25000</f>
        <v>0</v>
      </c>
      <c r="F20" s="245">
        <f>+F18*25000</f>
        <v>0</v>
      </c>
      <c r="G20" s="246">
        <f>SUM(B20:F20)</f>
        <v>-25000</v>
      </c>
    </row>
    <row r="21" spans="1:7" ht="15">
      <c r="A21" s="244"/>
      <c r="B21" s="260"/>
      <c r="C21" s="260"/>
      <c r="D21" s="260"/>
      <c r="E21" s="260"/>
      <c r="F21" s="260"/>
      <c r="G21" s="261"/>
    </row>
    <row r="22" spans="1:7" ht="15">
      <c r="A22" s="244" t="s">
        <v>124</v>
      </c>
      <c r="B22" s="245">
        <f>+B20-$B$4</f>
        <v>-25000</v>
      </c>
      <c r="C22" s="245">
        <f>+C20-$C$4</f>
        <v>0</v>
      </c>
      <c r="D22" s="245">
        <f>+D20-$D$4</f>
        <v>0</v>
      </c>
      <c r="E22" s="245">
        <f>+E20-$E$4</f>
        <v>0</v>
      </c>
      <c r="F22" s="245">
        <f>+F20-$F$4</f>
        <v>0</v>
      </c>
      <c r="G22" s="246">
        <f>+G20-$G$4</f>
        <v>-25000</v>
      </c>
    </row>
    <row r="23" spans="1:7" ht="15">
      <c r="A23" s="262" t="s">
        <v>125</v>
      </c>
      <c r="B23" s="263" t="e">
        <f>+B22/$B$4</f>
        <v>#DIV/0!</v>
      </c>
      <c r="C23" s="263" t="e">
        <f>+C22/$C$4</f>
        <v>#DIV/0!</v>
      </c>
      <c r="D23" s="263" t="e">
        <f>+D22/$D$4</f>
        <v>#DIV/0!</v>
      </c>
      <c r="E23" s="263" t="e">
        <f>+E22/$E$4</f>
        <v>#DIV/0!</v>
      </c>
      <c r="F23" s="263" t="e">
        <f>+F22/$F$4</f>
        <v>#DIV/0!</v>
      </c>
      <c r="G23" s="264" t="e">
        <f>+G22/$G$4</f>
        <v>#DIV/0!</v>
      </c>
    </row>
    <row r="24" spans="1:7" ht="15">
      <c r="A24" s="251"/>
      <c r="B24" s="251"/>
      <c r="C24" s="251"/>
      <c r="D24" s="251"/>
      <c r="E24" s="251"/>
      <c r="F24" s="251"/>
      <c r="G24" s="251"/>
    </row>
    <row r="25" spans="1:7" ht="15">
      <c r="A25" s="265" t="s">
        <v>127</v>
      </c>
      <c r="B25" s="266"/>
      <c r="C25" s="267"/>
      <c r="D25" s="268"/>
      <c r="E25" s="268"/>
      <c r="F25" s="268"/>
      <c r="G25" s="269"/>
    </row>
    <row r="26" spans="1:7" ht="15">
      <c r="A26" s="270" t="s">
        <v>128</v>
      </c>
      <c r="B26" s="250"/>
      <c r="C26" s="250"/>
      <c r="D26" s="250"/>
      <c r="E26" s="251"/>
      <c r="F26" s="251"/>
      <c r="G26" s="259"/>
    </row>
    <row r="27" spans="1:7" ht="15">
      <c r="A27" s="270" t="s">
        <v>129</v>
      </c>
      <c r="B27" s="250"/>
      <c r="C27" s="250"/>
      <c r="D27" s="250"/>
      <c r="E27" s="251"/>
      <c r="F27" s="251"/>
      <c r="G27" s="259"/>
    </row>
    <row r="28" spans="1:7" ht="15">
      <c r="A28" s="244" t="s">
        <v>130</v>
      </c>
      <c r="B28" s="250"/>
      <c r="C28" s="250"/>
      <c r="D28" s="250"/>
      <c r="E28" s="251"/>
      <c r="F28" s="251"/>
      <c r="G28" s="259"/>
    </row>
    <row r="29" spans="1:7" ht="15">
      <c r="A29" s="244" t="s">
        <v>131</v>
      </c>
      <c r="B29" s="250"/>
      <c r="C29" s="250"/>
      <c r="D29" s="250"/>
      <c r="E29" s="251"/>
      <c r="F29" s="251"/>
      <c r="G29" s="259"/>
    </row>
    <row r="30" spans="1:7" ht="15">
      <c r="A30" s="256" t="s">
        <v>122</v>
      </c>
      <c r="B30" s="271"/>
      <c r="C30" s="271"/>
      <c r="D30" s="271"/>
      <c r="E30" s="271"/>
      <c r="F30" s="271"/>
      <c r="G30" s="258">
        <f>SUM(B30:F30)</f>
        <v>0</v>
      </c>
    </row>
    <row r="31" spans="1:7" ht="15">
      <c r="A31" s="244"/>
      <c r="B31" s="251"/>
      <c r="C31" s="251"/>
      <c r="D31" s="251"/>
      <c r="E31" s="251"/>
      <c r="F31" s="251"/>
      <c r="G31" s="259"/>
    </row>
    <row r="32" spans="1:7" ht="15">
      <c r="A32" s="256" t="s">
        <v>123</v>
      </c>
      <c r="B32" s="257">
        <f>+B30*25000</f>
        <v>0</v>
      </c>
      <c r="C32" s="257">
        <f>+C30*25000</f>
        <v>0</v>
      </c>
      <c r="D32" s="257">
        <f>+D30*25000</f>
        <v>0</v>
      </c>
      <c r="E32" s="257">
        <f>+E30*25000</f>
        <v>0</v>
      </c>
      <c r="F32" s="257">
        <f>+F30*25000</f>
        <v>0</v>
      </c>
      <c r="G32" s="258">
        <f>SUM(B32:F32)</f>
        <v>0</v>
      </c>
    </row>
    <row r="33" spans="1:7" ht="15">
      <c r="A33" s="244"/>
      <c r="B33" s="251"/>
      <c r="C33" s="251"/>
      <c r="D33" s="251"/>
      <c r="E33" s="251"/>
      <c r="F33" s="251"/>
      <c r="G33" s="259"/>
    </row>
    <row r="34" spans="1:7" ht="15">
      <c r="A34" s="244" t="s">
        <v>124</v>
      </c>
      <c r="B34" s="245">
        <f>+B32-$B$4</f>
        <v>0</v>
      </c>
      <c r="C34" s="245">
        <f>+C32-$C$4</f>
        <v>0</v>
      </c>
      <c r="D34" s="245">
        <f>+D32-$D$4</f>
        <v>0</v>
      </c>
      <c r="E34" s="245">
        <f>+E32-$E$4</f>
        <v>0</v>
      </c>
      <c r="F34" s="245">
        <f>+F32-$F$4</f>
        <v>0</v>
      </c>
      <c r="G34" s="246">
        <f>+G32-$G$4</f>
        <v>0</v>
      </c>
    </row>
    <row r="35" spans="1:7" ht="15">
      <c r="A35" s="262" t="s">
        <v>125</v>
      </c>
      <c r="B35" s="263" t="e">
        <f>+B34/$B$4</f>
        <v>#DIV/0!</v>
      </c>
      <c r="C35" s="263" t="e">
        <f>+C34/$C$4</f>
        <v>#DIV/0!</v>
      </c>
      <c r="D35" s="263" t="e">
        <f>+D34/$D$4</f>
        <v>#DIV/0!</v>
      </c>
      <c r="E35" s="263" t="e">
        <f>+E34/$E$4</f>
        <v>#DIV/0!</v>
      </c>
      <c r="F35" s="263" t="e">
        <f>+F34/$F$4</f>
        <v>#DIV/0!</v>
      </c>
      <c r="G35" s="264" t="e">
        <f>+G34/$G$4</f>
        <v>#DIV/0!</v>
      </c>
    </row>
    <row r="37" ht="15">
      <c r="B37" s="272">
        <f>IF(B32&gt;250000,"YEAR 1: MODULAR GRANT REQUESTS CANNOT BE GREATER THAN $250,000 PER YEAR.",0)</f>
        <v>0</v>
      </c>
    </row>
    <row r="38" ht="15">
      <c r="B38" s="272">
        <f>IF(C32&gt;250000,"YEAR 2: MODULAR GRANT REQUESTS CANNOT BE GREATER THAN $250,000 PER YEAR.",0)</f>
        <v>0</v>
      </c>
    </row>
    <row r="39" ht="15">
      <c r="B39" s="272">
        <f>IF(D32&gt;250000,"YEAR 3: MODULAR GRANT REQUESTS CANNOT BE GREATER THAN $250,000 PER YEAR.",0)</f>
        <v>0</v>
      </c>
    </row>
    <row r="40" ht="15">
      <c r="B40" s="272">
        <f>IF(E32&gt;250000,"YEAR 4: MODULAR GRANT REQUESTS CANNOT BE GREATER THAN $250,000 PER YEAR.",0)</f>
        <v>0</v>
      </c>
    </row>
    <row r="41" ht="15">
      <c r="B41" s="272">
        <f>IF(F32&gt;250000,"YEAR 5: MODULAR GRANT REQUESTS CANNOT BE GREATER THAN $250,000 PER YEAR.",0)</f>
        <v>0</v>
      </c>
    </row>
  </sheetData>
  <sheetProtection sheet="1" objects="1" scenarios="1"/>
  <printOptions/>
  <pageMargins left="0.5" right="0.5" top="1" bottom="1" header="0.5" footer="0.5"/>
  <pageSetup fitToHeight="1" fitToWidth="1" horizontalDpi="300" verticalDpi="300" orientation="portrait" scale="73" r:id="rId1"/>
  <headerFooter alignWithMargins="0">
    <oddHeader>&amp;C&amp;A</oddHeader>
    <oddFooter>&amp;C&amp;D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36"/>
  <sheetViews>
    <sheetView zoomScalePageLayoutView="0" workbookViewId="0" topLeftCell="A1">
      <selection activeCell="A1" sqref="A1"/>
    </sheetView>
  </sheetViews>
  <sheetFormatPr defaultColWidth="6.8515625" defaultRowHeight="12.75"/>
  <cols>
    <col min="1" max="1" width="14.57421875" style="280" customWidth="1"/>
    <col min="2" max="4" width="18.57421875" style="280" customWidth="1"/>
    <col min="5" max="5" width="15.7109375" style="280" customWidth="1"/>
    <col min="6" max="6" width="16.421875" style="280" customWidth="1"/>
    <col min="7" max="7" width="14.8515625" style="280" customWidth="1"/>
    <col min="8" max="8" width="14.57421875" style="280" customWidth="1"/>
    <col min="9" max="9" width="9.28125" style="281" customWidth="1"/>
    <col min="10" max="10" width="11.7109375" style="281" customWidth="1"/>
    <col min="11" max="21" width="6.8515625" style="281" customWidth="1"/>
    <col min="22" max="16384" width="6.8515625" style="280" customWidth="1"/>
  </cols>
  <sheetData>
    <row r="1" spans="2:8" s="9" customFormat="1" ht="12.75">
      <c r="B1" s="273" t="s">
        <v>132</v>
      </c>
      <c r="C1" s="273"/>
      <c r="D1" s="273"/>
      <c r="E1" s="273"/>
      <c r="F1" s="273"/>
      <c r="G1" s="273"/>
      <c r="H1" s="273"/>
    </row>
    <row r="2" spans="2:10" s="9" customFormat="1" ht="12.75">
      <c r="B2" s="273"/>
      <c r="C2" s="273"/>
      <c r="D2" s="273"/>
      <c r="E2" s="273"/>
      <c r="F2" s="273"/>
      <c r="G2" s="273"/>
      <c r="H2" s="273"/>
      <c r="J2" s="274"/>
    </row>
    <row r="3" spans="2:8" s="9" customFormat="1" ht="12.75">
      <c r="B3" s="275"/>
      <c r="C3" s="275"/>
      <c r="D3" s="275"/>
      <c r="E3" s="275"/>
      <c r="F3" s="275"/>
      <c r="G3" s="275"/>
      <c r="H3" s="275"/>
    </row>
    <row r="4" spans="2:7" s="9" customFormat="1" ht="12.75">
      <c r="B4" s="275" t="s">
        <v>133</v>
      </c>
      <c r="C4" s="275"/>
      <c r="D4" s="275"/>
      <c r="E4" s="275"/>
      <c r="F4" s="275"/>
      <c r="G4" s="276">
        <f>+Modules!G32</f>
        <v>0</v>
      </c>
    </row>
    <row r="5" s="9" customFormat="1" ht="12.75">
      <c r="J5" s="277"/>
    </row>
    <row r="6" spans="2:6" s="9" customFormat="1" ht="12.75">
      <c r="B6" s="278" t="s">
        <v>134</v>
      </c>
      <c r="C6" s="278" t="s">
        <v>135</v>
      </c>
      <c r="D6" s="278" t="s">
        <v>136</v>
      </c>
      <c r="E6" s="278" t="s">
        <v>137</v>
      </c>
      <c r="F6" s="278" t="s">
        <v>138</v>
      </c>
    </row>
    <row r="7" spans="2:6" s="9" customFormat="1" ht="12.75">
      <c r="B7" s="278" t="s">
        <v>139</v>
      </c>
      <c r="C7" s="278" t="s">
        <v>140</v>
      </c>
      <c r="D7" s="278" t="s">
        <v>140</v>
      </c>
      <c r="E7" s="278" t="s">
        <v>140</v>
      </c>
      <c r="F7" s="278" t="s">
        <v>140</v>
      </c>
    </row>
    <row r="8" spans="1:7" s="9" customFormat="1" ht="12.75">
      <c r="A8" s="9" t="s">
        <v>311</v>
      </c>
      <c r="B8" s="279">
        <f>+Modules!B32</f>
        <v>0</v>
      </c>
      <c r="C8" s="279">
        <f>+Modules!C32</f>
        <v>0</v>
      </c>
      <c r="D8" s="279">
        <f>+Modules!D32</f>
        <v>0</v>
      </c>
      <c r="E8" s="279">
        <f>+Modules!E32</f>
        <v>0</v>
      </c>
      <c r="F8" s="279">
        <f>+Modules!F32</f>
        <v>0</v>
      </c>
      <c r="G8" s="274">
        <f>SUM(B8:F8)</f>
        <v>0</v>
      </c>
    </row>
    <row r="9" spans="2:7" s="9" customFormat="1" ht="12.75">
      <c r="B9" s="279" t="s">
        <v>312</v>
      </c>
      <c r="C9" s="279"/>
      <c r="D9" s="279"/>
      <c r="E9" s="279"/>
      <c r="F9" s="279"/>
      <c r="G9" s="274" t="s">
        <v>313</v>
      </c>
    </row>
    <row r="10" spans="1:7" s="9" customFormat="1" ht="12.75">
      <c r="A10" s="9" t="s">
        <v>309</v>
      </c>
      <c r="B10" s="279">
        <f>Subcontracts!C51</f>
        <v>0</v>
      </c>
      <c r="C10" s="279">
        <f>Subcontracts!D51</f>
        <v>0</v>
      </c>
      <c r="D10" s="279">
        <f>Subcontracts!E51</f>
        <v>0</v>
      </c>
      <c r="E10" s="279">
        <f>Subcontracts!F51</f>
        <v>0</v>
      </c>
      <c r="F10" s="279">
        <f>Subcontracts!G51</f>
        <v>0</v>
      </c>
      <c r="G10" s="274">
        <f>SUM(B10:F10)</f>
        <v>0</v>
      </c>
    </row>
    <row r="11" spans="1:7" s="9" customFormat="1" ht="12.75">
      <c r="A11" s="9" t="s">
        <v>310</v>
      </c>
      <c r="B11" s="279">
        <f>SUM(B10,B8)</f>
        <v>0</v>
      </c>
      <c r="C11" s="279">
        <f>SUM(C10,C8)</f>
        <v>0</v>
      </c>
      <c r="D11" s="279">
        <f>SUM(D10,D8)</f>
        <v>0</v>
      </c>
      <c r="E11" s="279">
        <f>SUM(E10,E8)</f>
        <v>0</v>
      </c>
      <c r="F11" s="279">
        <f>SUM(F10,F8)</f>
        <v>0</v>
      </c>
      <c r="G11" s="274">
        <f>SUM(B11:F11)</f>
        <v>0</v>
      </c>
    </row>
    <row r="13" spans="2:7" ht="15.75">
      <c r="B13" s="275" t="s">
        <v>5</v>
      </c>
      <c r="C13" s="9" t="s">
        <v>141</v>
      </c>
      <c r="D13" s="9"/>
      <c r="E13" s="9"/>
      <c r="F13" s="9"/>
      <c r="G13" s="9"/>
    </row>
    <row r="14" spans="2:7" ht="15.75">
      <c r="B14" s="275"/>
      <c r="C14" s="9"/>
      <c r="D14" s="9"/>
      <c r="E14" s="9"/>
      <c r="F14" s="9"/>
      <c r="G14" s="9"/>
    </row>
    <row r="15" spans="2:7" ht="15.75">
      <c r="B15" s="9">
        <f>+'Year 1'!C20</f>
        <v>0</v>
      </c>
      <c r="C15" s="9" t="str">
        <f>+'Year 1'!E20</f>
        <v>PD/PI</v>
      </c>
      <c r="D15" s="282">
        <f>+'Year 1'!G20/100</f>
        <v>0</v>
      </c>
      <c r="E15" s="9"/>
      <c r="F15" s="9"/>
      <c r="G15" s="9"/>
    </row>
    <row r="16" spans="2:7" ht="15.75">
      <c r="B16" s="9">
        <f>+'Year 1'!C22</f>
        <v>0</v>
      </c>
      <c r="C16" s="9">
        <f>+'Year 1'!E22</f>
        <v>0</v>
      </c>
      <c r="D16" s="282">
        <f>+'Year 1'!G23/100</f>
        <v>0</v>
      </c>
      <c r="E16" s="9"/>
      <c r="F16" s="9"/>
      <c r="G16" s="9"/>
    </row>
    <row r="17" spans="2:7" ht="15.75">
      <c r="B17" s="9">
        <f>+'Year 1'!C24</f>
        <v>0</v>
      </c>
      <c r="C17" s="9">
        <f>+'Year 1'!E24</f>
        <v>0</v>
      </c>
      <c r="D17" s="282">
        <f>+'Year 1'!G25/100</f>
        <v>0</v>
      </c>
      <c r="E17" s="9"/>
      <c r="F17" s="9"/>
      <c r="G17" s="9"/>
    </row>
    <row r="18" spans="2:7" ht="15.75">
      <c r="B18" s="9">
        <f>+'Year 1'!C26</f>
        <v>0</v>
      </c>
      <c r="C18" s="9">
        <f>+'Year 1'!E26</f>
        <v>0</v>
      </c>
      <c r="D18" s="282">
        <f>+'Year 1'!G27/100</f>
        <v>0</v>
      </c>
      <c r="E18" s="9"/>
      <c r="F18" s="9"/>
      <c r="G18" s="9"/>
    </row>
    <row r="19" spans="2:7" ht="15.75">
      <c r="B19" s="9">
        <f>+'Year 1'!C28</f>
        <v>0</v>
      </c>
      <c r="C19" s="9">
        <f>+'Year 1'!E28</f>
        <v>0</v>
      </c>
      <c r="D19" s="282">
        <f>+'Year 1'!G29/100</f>
        <v>0</v>
      </c>
      <c r="E19" s="9"/>
      <c r="F19" s="9"/>
      <c r="G19" s="9"/>
    </row>
    <row r="20" spans="2:7" ht="15.75">
      <c r="B20" s="9">
        <f>+'Year 1'!C30</f>
        <v>0</v>
      </c>
      <c r="C20" s="9">
        <f>+'Year 1'!E30</f>
        <v>0</v>
      </c>
      <c r="D20" s="282">
        <f>+'Year 1'!G31/100</f>
        <v>0</v>
      </c>
      <c r="E20" s="9"/>
      <c r="F20" s="9"/>
      <c r="G20" s="9"/>
    </row>
    <row r="21" spans="2:7" ht="15.75">
      <c r="B21" s="9">
        <f>+'Year 1'!C32</f>
        <v>0</v>
      </c>
      <c r="C21" s="9">
        <f>+'Year 1'!E32</f>
        <v>0</v>
      </c>
      <c r="D21" s="282">
        <f>+'Year 1'!G33/100</f>
        <v>0</v>
      </c>
      <c r="E21" s="9"/>
      <c r="F21" s="9"/>
      <c r="G21" s="9"/>
    </row>
    <row r="22" spans="2:7" ht="15.75">
      <c r="B22" s="9">
        <f>+'Year 1'!C34</f>
        <v>0</v>
      </c>
      <c r="C22" s="9">
        <f>+'Year 1'!E34</f>
        <v>0</v>
      </c>
      <c r="D22" s="282">
        <f>+'Year 1'!G35/100</f>
        <v>0</v>
      </c>
      <c r="E22" s="9"/>
      <c r="F22" s="9"/>
      <c r="G22" s="9"/>
    </row>
    <row r="23" spans="2:7" ht="15.75">
      <c r="B23" s="9">
        <f>+'Year 1'!C36</f>
        <v>0</v>
      </c>
      <c r="C23" s="9">
        <f>+'Year 1'!E36</f>
        <v>0</v>
      </c>
      <c r="D23" s="282">
        <f>+'Year 1'!G37/100</f>
        <v>0</v>
      </c>
      <c r="E23" s="9"/>
      <c r="F23" s="9"/>
      <c r="G23" s="9"/>
    </row>
    <row r="24" spans="2:7" ht="15.75">
      <c r="B24" s="9">
        <f>+'Year 1'!C38</f>
        <v>0</v>
      </c>
      <c r="C24" s="9">
        <f>+'Year 1'!E38</f>
        <v>0</v>
      </c>
      <c r="D24" s="282">
        <f>+'Year 1'!G39/100</f>
        <v>0</v>
      </c>
      <c r="E24" s="9"/>
      <c r="F24" s="9"/>
      <c r="G24" s="9"/>
    </row>
    <row r="25" spans="2:7" ht="15.75">
      <c r="B25" s="9">
        <f>+'Year 1'!C40</f>
        <v>0</v>
      </c>
      <c r="C25" s="9">
        <f>+'Year 1'!E40</f>
        <v>0</v>
      </c>
      <c r="D25" s="282">
        <f>+'Year 1'!G41/100</f>
        <v>0</v>
      </c>
      <c r="E25" s="9"/>
      <c r="F25" s="9"/>
      <c r="G25" s="9"/>
    </row>
    <row r="26" spans="2:7" ht="15.75">
      <c r="B26" s="9">
        <f>+'Year 1'!C42</f>
        <v>0</v>
      </c>
      <c r="C26" s="9">
        <f>+'Year 1'!E42</f>
        <v>0</v>
      </c>
      <c r="D26" s="282">
        <f>+'Year 1'!G43/100</f>
        <v>0</v>
      </c>
      <c r="E26" s="9"/>
      <c r="F26" s="9"/>
      <c r="G26" s="9"/>
    </row>
    <row r="27" spans="2:7" ht="15.75">
      <c r="B27" s="9">
        <f>+'Year 1'!C44</f>
        <v>0</v>
      </c>
      <c r="C27" s="9">
        <f>+'Year 1'!E44</f>
        <v>0</v>
      </c>
      <c r="D27" s="282">
        <f>+'Year 1'!G45/100</f>
        <v>0</v>
      </c>
      <c r="E27" s="9"/>
      <c r="F27" s="9"/>
      <c r="G27" s="9"/>
    </row>
    <row r="28" spans="2:7" ht="15.75">
      <c r="B28" s="9">
        <f>+'Year 1'!C46</f>
        <v>0</v>
      </c>
      <c r="C28" s="9">
        <f>+'Year 1'!E46</f>
        <v>0</v>
      </c>
      <c r="D28" s="282">
        <f>+'Year 1'!G47/100</f>
        <v>0</v>
      </c>
      <c r="E28" s="9"/>
      <c r="F28" s="9"/>
      <c r="G28" s="9"/>
    </row>
    <row r="29" spans="2:7" ht="15.75">
      <c r="B29" s="9">
        <f>+'Year 1'!C48</f>
        <v>0</v>
      </c>
      <c r="C29" s="9">
        <f>+'Year 1'!E48</f>
        <v>0</v>
      </c>
      <c r="D29" s="282">
        <f>+'Year 1'!G49/100</f>
        <v>0</v>
      </c>
      <c r="E29" s="9"/>
      <c r="F29" s="9"/>
      <c r="G29" s="9"/>
    </row>
    <row r="30" spans="2:7" ht="15.75">
      <c r="B30" s="275" t="s">
        <v>142</v>
      </c>
      <c r="C30" s="283" t="s">
        <v>143</v>
      </c>
      <c r="D30" s="9"/>
      <c r="E30" s="9"/>
      <c r="F30" s="9"/>
      <c r="G30" s="9"/>
    </row>
    <row r="31" spans="2:7" ht="15.75">
      <c r="B31" s="275"/>
      <c r="C31" s="283" t="s">
        <v>144</v>
      </c>
      <c r="D31" s="9"/>
      <c r="E31" s="9"/>
      <c r="F31" s="9"/>
      <c r="G31" s="9"/>
    </row>
    <row r="32" spans="2:7" ht="15.75">
      <c r="B32" s="9">
        <f>+'Year 1'!C55</f>
        <v>0</v>
      </c>
      <c r="C32" s="274">
        <f>+'Year 1'!E55</f>
        <v>0</v>
      </c>
      <c r="D32" s="9"/>
      <c r="E32" s="9">
        <f>+'Year 1'!F55</f>
        <v>0</v>
      </c>
      <c r="F32" s="9"/>
      <c r="G32" s="274">
        <f>+'Year 1'!K55</f>
        <v>0</v>
      </c>
    </row>
    <row r="33" spans="2:7" ht="15.75">
      <c r="B33" s="9">
        <f>+'Year 1'!C56</f>
        <v>0</v>
      </c>
      <c r="C33" s="274">
        <f>+'Year 1'!E56</f>
        <v>0</v>
      </c>
      <c r="D33" s="9"/>
      <c r="E33" s="9">
        <f>+'Year 1'!F56</f>
        <v>0</v>
      </c>
      <c r="F33" s="9"/>
      <c r="G33" s="274">
        <f>+'Year 1'!K56</f>
        <v>0</v>
      </c>
    </row>
    <row r="34" spans="2:7" ht="15.75">
      <c r="B34" s="9">
        <f>+'Year 1'!C57</f>
        <v>0</v>
      </c>
      <c r="C34" s="274">
        <f>+'Year 1'!E57</f>
        <v>0</v>
      </c>
      <c r="D34" s="9"/>
      <c r="E34" s="9">
        <f>+'Year 1'!F57</f>
        <v>0</v>
      </c>
      <c r="F34" s="9"/>
      <c r="G34" s="274">
        <f>+'Year 1'!K57</f>
        <v>0</v>
      </c>
    </row>
    <row r="35" spans="2:7" ht="15.75">
      <c r="B35" s="275" t="s">
        <v>145</v>
      </c>
      <c r="C35" s="9"/>
      <c r="D35" s="9"/>
      <c r="E35" s="9"/>
      <c r="F35" s="9"/>
      <c r="G35" s="9"/>
    </row>
    <row r="36" spans="2:7" ht="15.75">
      <c r="B36" s="9" t="s">
        <v>146</v>
      </c>
      <c r="C36" s="284">
        <f>+'Total Page'!C23+'Total Page'!D23+'Total Page'!E23+'Total Page'!F23+'Total Page'!G23+'Total Page'!C25+'Total Page'!D25+'Total Page'!E25+'Total Page'!F25+'Total Page'!G25</f>
        <v>0</v>
      </c>
      <c r="D36" s="9"/>
      <c r="E36" s="9" t="s">
        <v>147</v>
      </c>
      <c r="F36" s="9"/>
      <c r="G36" s="9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portrait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I54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6" width="10.8515625" style="0" customWidth="1"/>
    <col min="7" max="7" width="17.28125" style="0" customWidth="1"/>
    <col min="8" max="8" width="17.140625" style="0" customWidth="1"/>
    <col min="9" max="9" width="17.421875" style="0" customWidth="1"/>
  </cols>
  <sheetData>
    <row r="1" ht="8.25" customHeight="1"/>
    <row r="2" spans="1:4" ht="12.75">
      <c r="A2" s="692" t="s">
        <v>377</v>
      </c>
      <c r="D2" s="709">
        <f>+FacePage!$B$14</f>
        <v>0</v>
      </c>
    </row>
    <row r="3" spans="1:9" ht="25.5" customHeight="1">
      <c r="A3" s="1116" t="s">
        <v>324</v>
      </c>
      <c r="B3" s="1117"/>
      <c r="C3" s="1117"/>
      <c r="D3" s="1117"/>
      <c r="E3" s="1117"/>
      <c r="F3" s="1117"/>
      <c r="G3" s="1118"/>
      <c r="H3" s="687"/>
      <c r="I3" s="687"/>
    </row>
    <row r="4" spans="1:9" ht="25.5" customHeight="1">
      <c r="A4" s="1119" t="s">
        <v>314</v>
      </c>
      <c r="B4" s="1120"/>
      <c r="C4" s="1120"/>
      <c r="D4" s="1120"/>
      <c r="E4" s="1120"/>
      <c r="F4" s="1120"/>
      <c r="G4" s="1121"/>
      <c r="H4" s="684"/>
      <c r="I4" s="684"/>
    </row>
    <row r="5" spans="1:9" ht="15.75" customHeight="1">
      <c r="A5" s="688"/>
      <c r="B5" s="1114" t="s">
        <v>317</v>
      </c>
      <c r="C5" s="1114" t="s">
        <v>319</v>
      </c>
      <c r="D5" s="1114" t="s">
        <v>320</v>
      </c>
      <c r="E5" s="1114" t="s">
        <v>321</v>
      </c>
      <c r="F5" s="1114" t="s">
        <v>322</v>
      </c>
      <c r="G5" s="685" t="s">
        <v>326</v>
      </c>
      <c r="H5" s="684"/>
      <c r="I5" s="684"/>
    </row>
    <row r="6" spans="1:7" ht="27" customHeight="1">
      <c r="A6" s="689"/>
      <c r="B6" s="1115"/>
      <c r="C6" s="1115"/>
      <c r="D6" s="1115"/>
      <c r="E6" s="1115"/>
      <c r="F6" s="1115"/>
      <c r="G6" s="686" t="s">
        <v>325</v>
      </c>
    </row>
    <row r="7" spans="1:7" ht="22.5" customHeight="1">
      <c r="A7" s="1122" t="s">
        <v>315</v>
      </c>
      <c r="B7" s="696">
        <f>Modules!B32</f>
        <v>0</v>
      </c>
      <c r="C7" s="696">
        <f>Modules!C32</f>
        <v>0</v>
      </c>
      <c r="D7" s="696">
        <f>Modules!D32</f>
        <v>0</v>
      </c>
      <c r="E7" s="696">
        <f>Modules!E32</f>
        <v>0</v>
      </c>
      <c r="F7" s="696">
        <f>Modules!F32</f>
        <v>0</v>
      </c>
      <c r="G7" s="696">
        <f>SUM(B7:F7)</f>
        <v>0</v>
      </c>
    </row>
    <row r="8" spans="1:7" ht="12.75">
      <c r="A8" s="1123"/>
      <c r="B8" s="690" t="s">
        <v>318</v>
      </c>
      <c r="C8" s="689"/>
      <c r="D8" s="689"/>
      <c r="E8" s="689"/>
      <c r="F8" s="689"/>
      <c r="G8" s="690" t="s">
        <v>313</v>
      </c>
    </row>
    <row r="9" spans="1:7" ht="22.5" customHeight="1" thickBot="1">
      <c r="A9" s="691" t="s">
        <v>309</v>
      </c>
      <c r="B9" s="695">
        <f>'Total Page'!C25</f>
        <v>0</v>
      </c>
      <c r="C9" s="695">
        <f>'Total Page'!D25</f>
        <v>0</v>
      </c>
      <c r="D9" s="695">
        <f>'Total Page'!E25</f>
        <v>0</v>
      </c>
      <c r="E9" s="695">
        <f>'Total Page'!F25</f>
        <v>0</v>
      </c>
      <c r="F9" s="695">
        <f>'Total Page'!G25</f>
        <v>0</v>
      </c>
      <c r="G9" s="696">
        <f>SUM(B9:F9)</f>
        <v>0</v>
      </c>
    </row>
    <row r="10" spans="1:7" ht="22.5" customHeight="1" thickBot="1" thickTop="1">
      <c r="A10" s="691" t="s">
        <v>316</v>
      </c>
      <c r="B10" s="695">
        <f>SUM(B9,B7)</f>
        <v>0</v>
      </c>
      <c r="C10" s="695">
        <f>SUM(C9,C7)</f>
        <v>0</v>
      </c>
      <c r="D10" s="695">
        <f>SUM(D9,D7)</f>
        <v>0</v>
      </c>
      <c r="E10" s="695">
        <f>SUM(E9,E7)</f>
        <v>0</v>
      </c>
      <c r="F10" s="695">
        <f>SUM(F9,F7)</f>
        <v>0</v>
      </c>
      <c r="G10" s="698">
        <f>SUM(B10:F10)</f>
        <v>0</v>
      </c>
    </row>
    <row r="11" ht="9" customHeight="1" thickTop="1"/>
    <row r="12" ht="12.75">
      <c r="A12" s="683" t="s">
        <v>5</v>
      </c>
    </row>
    <row r="13" ht="12.75">
      <c r="B13" s="697"/>
    </row>
    <row r="41" ht="12.75">
      <c r="A41" s="683" t="s">
        <v>145</v>
      </c>
    </row>
    <row r="50" ht="12.75">
      <c r="A50" s="683"/>
    </row>
    <row r="53" spans="1:7" ht="12.75">
      <c r="A53" s="693"/>
      <c r="B53" s="693"/>
      <c r="C53" s="693"/>
      <c r="D53" s="693"/>
      <c r="E53" s="693"/>
      <c r="F53" s="693"/>
      <c r="G53" s="693"/>
    </row>
    <row r="54" spans="1:7" ht="12.75">
      <c r="A54" s="902" t="s">
        <v>399</v>
      </c>
      <c r="C54" s="1113" t="s">
        <v>345</v>
      </c>
      <c r="D54" s="1113"/>
      <c r="G54" s="694" t="s">
        <v>323</v>
      </c>
    </row>
  </sheetData>
  <sheetProtection/>
  <mergeCells count="9">
    <mergeCell ref="C54:D54"/>
    <mergeCell ref="E5:E6"/>
    <mergeCell ref="F5:F6"/>
    <mergeCell ref="A3:G3"/>
    <mergeCell ref="A4:G4"/>
    <mergeCell ref="A7:A8"/>
    <mergeCell ref="B5:B6"/>
    <mergeCell ref="C5:C6"/>
    <mergeCell ref="D5:D6"/>
  </mergeCells>
  <printOptions/>
  <pageMargins left="0.4" right="0.4" top="0.4" bottom="0.3" header="0.5" footer="0.5"/>
  <pageSetup fitToHeight="1" fitToWidth="1" horizontalDpi="600" verticalDpi="600" orientation="portrait" r:id="rId4"/>
  <legacyDrawing r:id="rId3"/>
  <oleObjects>
    <oleObject progId="Word.Document.8" shapeId="317685" r:id="rId1"/>
    <oleObject progId="Word.Document.8" shapeId="32630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J10"/>
  <sheetViews>
    <sheetView showGridLines="0" zoomScalePageLayoutView="0" workbookViewId="0" topLeftCell="A1">
      <selection activeCell="A1" sqref="A1:J1"/>
    </sheetView>
  </sheetViews>
  <sheetFormatPr defaultColWidth="6.8515625" defaultRowHeight="12.75"/>
  <cols>
    <col min="1" max="15" width="9.140625" style="33" customWidth="1"/>
    <col min="16" max="16384" width="6.8515625" style="33" customWidth="1"/>
  </cols>
  <sheetData>
    <row r="1" spans="1:10" ht="51" customHeight="1" thickBot="1">
      <c r="A1" s="993" t="s">
        <v>48</v>
      </c>
      <c r="B1" s="994"/>
      <c r="C1" s="994"/>
      <c r="D1" s="994"/>
      <c r="E1" s="994"/>
      <c r="F1" s="994"/>
      <c r="G1" s="994"/>
      <c r="H1" s="994"/>
      <c r="I1" s="994"/>
      <c r="J1" s="994"/>
    </row>
    <row r="2" spans="1:10" ht="16.5" customHeight="1">
      <c r="A2" s="34"/>
      <c r="B2" s="35"/>
      <c r="C2" s="35"/>
      <c r="D2" s="35"/>
      <c r="E2" s="35"/>
      <c r="F2" s="35"/>
      <c r="G2" s="35"/>
      <c r="H2" s="35"/>
      <c r="I2" s="35"/>
      <c r="J2" s="36"/>
    </row>
    <row r="3" spans="1:10" ht="16.5" customHeight="1">
      <c r="A3" s="37"/>
      <c r="B3" s="38"/>
      <c r="C3" s="38"/>
      <c r="D3" s="38"/>
      <c r="E3" s="38"/>
      <c r="F3" s="38"/>
      <c r="G3" s="38"/>
      <c r="H3" s="38"/>
      <c r="I3" s="38"/>
      <c r="J3" s="39"/>
    </row>
    <row r="4" spans="1:10" ht="16.5" customHeight="1">
      <c r="A4" s="37"/>
      <c r="B4" s="38"/>
      <c r="C4" s="38"/>
      <c r="D4" s="38"/>
      <c r="E4" s="38"/>
      <c r="F4" s="38"/>
      <c r="G4" s="38"/>
      <c r="H4" s="38"/>
      <c r="I4" s="38"/>
      <c r="J4" s="39"/>
    </row>
    <row r="5" spans="1:10" ht="16.5" customHeight="1">
      <c r="A5" s="37"/>
      <c r="B5" s="38"/>
      <c r="C5" s="38"/>
      <c r="D5" s="38"/>
      <c r="E5" s="38"/>
      <c r="F5" s="38"/>
      <c r="G5" s="38"/>
      <c r="H5" s="38"/>
      <c r="I5" s="38"/>
      <c r="J5" s="39"/>
    </row>
    <row r="6" spans="1:10" ht="16.5" customHeight="1">
      <c r="A6" s="37"/>
      <c r="B6" s="38"/>
      <c r="C6" s="38"/>
      <c r="D6" s="38"/>
      <c r="E6" s="38"/>
      <c r="F6" s="38"/>
      <c r="G6" s="38"/>
      <c r="H6" s="38"/>
      <c r="I6" s="38"/>
      <c r="J6" s="39"/>
    </row>
    <row r="7" spans="1:10" ht="16.5" customHeight="1">
      <c r="A7" s="37"/>
      <c r="B7" s="38"/>
      <c r="C7" s="38"/>
      <c r="D7" s="38"/>
      <c r="E7" s="38"/>
      <c r="F7" s="38"/>
      <c r="G7" s="38"/>
      <c r="H7" s="38"/>
      <c r="I7" s="38"/>
      <c r="J7" s="39"/>
    </row>
    <row r="8" spans="1:10" ht="16.5" customHeight="1">
      <c r="A8" s="37"/>
      <c r="B8" s="38"/>
      <c r="C8" s="38"/>
      <c r="D8" s="38"/>
      <c r="E8" s="38"/>
      <c r="F8" s="38"/>
      <c r="G8" s="38"/>
      <c r="H8" s="38"/>
      <c r="I8" s="38"/>
      <c r="J8" s="39"/>
    </row>
    <row r="9" spans="1:10" ht="16.5" customHeight="1">
      <c r="A9" s="37"/>
      <c r="B9" s="38"/>
      <c r="C9" s="38"/>
      <c r="D9" s="38"/>
      <c r="E9" s="38"/>
      <c r="F9" s="38"/>
      <c r="G9" s="38"/>
      <c r="H9" s="38"/>
      <c r="I9" s="38"/>
      <c r="J9" s="39"/>
    </row>
    <row r="10" spans="1:10" ht="16.5" customHeight="1" thickBot="1">
      <c r="A10" s="40"/>
      <c r="B10" s="41"/>
      <c r="C10" s="41"/>
      <c r="D10" s="41"/>
      <c r="E10" s="41"/>
      <c r="F10" s="41"/>
      <c r="G10" s="41"/>
      <c r="H10" s="41"/>
      <c r="I10" s="41"/>
      <c r="J10" s="42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 sheet="1" objects="1" scenarios="1"/>
  <mergeCells count="1">
    <mergeCell ref="A1:J1"/>
  </mergeCells>
  <printOptions/>
  <pageMargins left="0.75" right="0.75" top="1" bottom="1" header="0.5" footer="0.5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L92"/>
  <sheetViews>
    <sheetView showGridLines="0" zoomScalePageLayoutView="0" workbookViewId="0" topLeftCell="A1">
      <selection activeCell="K47" sqref="K47"/>
    </sheetView>
  </sheetViews>
  <sheetFormatPr defaultColWidth="16.00390625" defaultRowHeight="12.75"/>
  <cols>
    <col min="1" max="1" width="8.140625" style="439" customWidth="1"/>
    <col min="2" max="2" width="5.8515625" style="439" customWidth="1"/>
    <col min="3" max="3" width="5.7109375" style="439" customWidth="1"/>
    <col min="4" max="4" width="7.28125" style="439" customWidth="1"/>
    <col min="5" max="7" width="5.00390625" style="439" customWidth="1"/>
    <col min="8" max="8" width="0.5625" style="439" customWidth="1"/>
    <col min="9" max="9" width="13.8515625" style="439" customWidth="1"/>
    <col min="10" max="10" width="8.7109375" style="439" customWidth="1"/>
    <col min="11" max="11" width="6.7109375" style="439" customWidth="1"/>
    <col min="12" max="12" width="3.8515625" style="439" customWidth="1"/>
    <col min="13" max="13" width="8.00390625" style="439" customWidth="1"/>
    <col min="14" max="15" width="3.28125" style="439" customWidth="1"/>
    <col min="16" max="16" width="7.28125" style="439" customWidth="1"/>
    <col min="17" max="17" width="10.421875" style="439" customWidth="1"/>
    <col min="18" max="18" width="11.00390625" style="439" customWidth="1"/>
    <col min="19" max="16384" width="16.00390625" style="439" customWidth="1"/>
  </cols>
  <sheetData>
    <row r="1" spans="1:19" s="365" customFormat="1" ht="13.5" customHeight="1">
      <c r="A1" s="609"/>
      <c r="B1" s="294"/>
      <c r="C1" s="294"/>
      <c r="D1" s="295"/>
      <c r="E1" s="295"/>
      <c r="F1" s="296"/>
      <c r="G1" s="296"/>
      <c r="H1" s="296"/>
      <c r="I1" s="297"/>
      <c r="J1" s="298"/>
      <c r="K1" s="294"/>
      <c r="L1" s="294"/>
      <c r="M1" s="296"/>
      <c r="N1" s="296"/>
      <c r="O1" s="296"/>
      <c r="P1" s="296"/>
      <c r="R1" s="528"/>
      <c r="S1" s="529"/>
    </row>
    <row r="2" spans="1:19" s="365" customFormat="1" ht="9.75" customHeight="1">
      <c r="A2" s="846" t="s">
        <v>392</v>
      </c>
      <c r="B2" s="294"/>
      <c r="C2" s="294"/>
      <c r="E2" s="295"/>
      <c r="F2" s="296"/>
      <c r="G2" s="296"/>
      <c r="H2" s="296"/>
      <c r="I2" s="296"/>
      <c r="J2" s="296"/>
      <c r="K2" s="294"/>
      <c r="L2" s="294"/>
      <c r="M2" s="296"/>
      <c r="N2" s="296"/>
      <c r="O2" s="296"/>
      <c r="P2" s="296"/>
      <c r="Q2" s="681" t="s">
        <v>158</v>
      </c>
      <c r="R2" s="528"/>
      <c r="S2" s="529"/>
    </row>
    <row r="3" spans="1:19" s="365" customFormat="1" ht="12.75" customHeight="1">
      <c r="A3" s="300" t="s">
        <v>159</v>
      </c>
      <c r="B3" s="301"/>
      <c r="C3" s="301"/>
      <c r="D3" s="302"/>
      <c r="E3" s="302"/>
      <c r="F3" s="301"/>
      <c r="G3" s="301"/>
      <c r="H3" s="301"/>
      <c r="I3" s="303"/>
      <c r="J3" s="345" t="s">
        <v>225</v>
      </c>
      <c r="K3" s="304"/>
      <c r="L3" s="304"/>
      <c r="M3" s="304"/>
      <c r="N3" s="304"/>
      <c r="O3" s="304"/>
      <c r="P3" s="304"/>
      <c r="Q3" s="305"/>
      <c r="R3" s="528"/>
      <c r="S3" s="529"/>
    </row>
    <row r="4" spans="1:19" s="365" customFormat="1" ht="11.25" customHeight="1">
      <c r="A4" s="306" t="s">
        <v>160</v>
      </c>
      <c r="B4" s="307"/>
      <c r="C4" s="307"/>
      <c r="D4" s="308"/>
      <c r="E4" s="308"/>
      <c r="F4" s="307"/>
      <c r="G4" s="307"/>
      <c r="H4" s="307"/>
      <c r="I4" s="309"/>
      <c r="J4" s="310" t="s">
        <v>276</v>
      </c>
      <c r="K4" s="314"/>
      <c r="L4" s="312" t="s">
        <v>277</v>
      </c>
      <c r="M4" s="313"/>
      <c r="N4" s="321"/>
      <c r="O4" s="312" t="s">
        <v>278</v>
      </c>
      <c r="P4" s="315"/>
      <c r="Q4" s="314"/>
      <c r="R4" s="528"/>
      <c r="S4" s="529"/>
    </row>
    <row r="5" spans="1:18" s="365" customFormat="1" ht="18" customHeight="1">
      <c r="A5" s="316"/>
      <c r="B5" s="317"/>
      <c r="C5" s="317"/>
      <c r="D5" s="317"/>
      <c r="E5" s="317"/>
      <c r="F5" s="317"/>
      <c r="G5" s="317"/>
      <c r="H5" s="317"/>
      <c r="I5" s="318"/>
      <c r="J5" s="319" t="s">
        <v>279</v>
      </c>
      <c r="K5" s="320"/>
      <c r="L5" s="320"/>
      <c r="M5" s="315"/>
      <c r="N5" s="315"/>
      <c r="O5" s="312" t="s">
        <v>280</v>
      </c>
      <c r="P5" s="315"/>
      <c r="Q5" s="314"/>
      <c r="R5" s="439"/>
    </row>
    <row r="6" spans="1:18" s="365" customFormat="1" ht="15.75" customHeight="1">
      <c r="A6" s="610" t="s">
        <v>281</v>
      </c>
      <c r="B6" s="322"/>
      <c r="C6" s="322"/>
      <c r="D6" s="322"/>
      <c r="E6" s="322"/>
      <c r="F6" s="322"/>
      <c r="G6" s="322"/>
      <c r="H6" s="322"/>
      <c r="I6" s="323"/>
      <c r="J6" s="310" t="s">
        <v>282</v>
      </c>
      <c r="K6" s="325"/>
      <c r="L6" s="325"/>
      <c r="M6" s="324"/>
      <c r="N6" s="325"/>
      <c r="O6" s="326" t="s">
        <v>283</v>
      </c>
      <c r="P6" s="324"/>
      <c r="Q6" s="311"/>
      <c r="R6" s="439"/>
    </row>
    <row r="7" spans="1:17" ht="12" customHeight="1">
      <c r="A7" s="328" t="s">
        <v>284</v>
      </c>
      <c r="B7" s="329"/>
      <c r="C7" s="329"/>
      <c r="D7" s="330"/>
      <c r="E7" s="330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31"/>
    </row>
    <row r="8" spans="1:17" s="365" customFormat="1" ht="16.5" customHeight="1">
      <c r="A8" s="332"/>
      <c r="B8" s="741"/>
      <c r="C8" s="333"/>
      <c r="D8" s="334"/>
      <c r="E8" s="334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5"/>
    </row>
    <row r="9" spans="1:17" s="365" customFormat="1" ht="12" customHeight="1">
      <c r="A9" s="499" t="s">
        <v>224</v>
      </c>
      <c r="B9" s="336"/>
      <c r="C9" s="336"/>
      <c r="D9" s="337"/>
      <c r="E9" s="337"/>
      <c r="F9" s="338"/>
      <c r="G9" s="338"/>
      <c r="H9" s="338"/>
      <c r="I9" s="338"/>
      <c r="J9" s="338"/>
      <c r="K9" s="338"/>
      <c r="L9" s="339"/>
      <c r="M9" s="329"/>
      <c r="N9" s="339"/>
      <c r="O9" s="329"/>
      <c r="P9" s="329"/>
      <c r="Q9" s="331"/>
    </row>
    <row r="10" spans="1:17" s="530" customFormat="1" ht="9" customHeight="1">
      <c r="A10" s="372" t="s">
        <v>231</v>
      </c>
      <c r="B10" s="373"/>
      <c r="C10" s="373"/>
      <c r="D10" s="375"/>
      <c r="E10" s="375"/>
      <c r="F10" s="375"/>
      <c r="G10" s="375"/>
      <c r="H10" s="375"/>
      <c r="I10" s="375"/>
      <c r="J10" s="375"/>
      <c r="K10" s="375"/>
      <c r="L10" s="500"/>
      <c r="M10" s="373"/>
      <c r="N10" s="500"/>
      <c r="O10" s="373"/>
      <c r="P10" s="373"/>
      <c r="Q10" s="383"/>
    </row>
    <row r="11" spans="1:17" s="365" customFormat="1" ht="16.5" customHeight="1">
      <c r="A11" s="340" t="s">
        <v>161</v>
      </c>
      <c r="B11" s="742"/>
      <c r="C11" s="341"/>
      <c r="D11" s="341"/>
      <c r="E11" s="342"/>
      <c r="F11" s="343" t="s">
        <v>162</v>
      </c>
      <c r="G11" s="531"/>
      <c r="H11" s="531"/>
      <c r="I11" s="743"/>
      <c r="J11" s="847"/>
      <c r="K11" s="342"/>
      <c r="L11" s="342"/>
      <c r="M11" s="342"/>
      <c r="N11" s="342"/>
      <c r="O11" s="342"/>
      <c r="P11" s="342"/>
      <c r="Q11" s="344"/>
    </row>
    <row r="12" spans="1:17" s="365" customFormat="1" ht="15" customHeight="1">
      <c r="A12" s="345" t="s">
        <v>354</v>
      </c>
      <c r="B12" s="346"/>
      <c r="C12" s="346"/>
      <c r="D12" s="347"/>
      <c r="E12" s="347"/>
      <c r="F12" s="346"/>
      <c r="G12" s="346"/>
      <c r="H12" s="346"/>
      <c r="I12" s="348"/>
      <c r="J12" s="848"/>
      <c r="K12" s="346"/>
      <c r="L12" s="350"/>
      <c r="M12" s="349"/>
      <c r="N12" s="346"/>
      <c r="O12" s="346"/>
      <c r="P12" s="346"/>
      <c r="Q12" s="351"/>
    </row>
    <row r="13" spans="1:18" ht="12" customHeight="1">
      <c r="A13" s="352" t="s">
        <v>355</v>
      </c>
      <c r="B13" s="329"/>
      <c r="C13" s="329"/>
      <c r="D13" s="329"/>
      <c r="E13" s="329"/>
      <c r="F13" s="329"/>
      <c r="G13" s="329"/>
      <c r="H13" s="329"/>
      <c r="I13" s="331"/>
      <c r="J13" s="371" t="s">
        <v>163</v>
      </c>
      <c r="K13" s="329"/>
      <c r="L13" s="329"/>
      <c r="M13" s="331"/>
      <c r="N13" s="328" t="s">
        <v>285</v>
      </c>
      <c r="O13" s="329"/>
      <c r="P13" s="329"/>
      <c r="Q13" s="331"/>
      <c r="R13" s="532"/>
    </row>
    <row r="14" spans="1:19" ht="15.75" customHeight="1">
      <c r="A14" s="327"/>
      <c r="B14" s="741"/>
      <c r="C14" s="744"/>
      <c r="D14" s="745"/>
      <c r="E14" s="745"/>
      <c r="F14" s="745"/>
      <c r="G14" s="745"/>
      <c r="H14" s="745"/>
      <c r="I14" s="746"/>
      <c r="J14" s="747"/>
      <c r="K14" s="748"/>
      <c r="L14" s="749"/>
      <c r="M14" s="750"/>
      <c r="N14" s="751"/>
      <c r="O14" s="749"/>
      <c r="P14" s="749"/>
      <c r="Q14" s="750"/>
      <c r="S14" s="532"/>
    </row>
    <row r="15" spans="1:19" ht="12" customHeight="1">
      <c r="A15" s="328" t="s">
        <v>250</v>
      </c>
      <c r="B15" s="329"/>
      <c r="C15" s="329"/>
      <c r="D15" s="354"/>
      <c r="E15" s="354"/>
      <c r="F15" s="329"/>
      <c r="G15" s="329"/>
      <c r="H15" s="329"/>
      <c r="I15" s="331"/>
      <c r="J15" s="328" t="s">
        <v>251</v>
      </c>
      <c r="K15" s="354"/>
      <c r="L15" s="354"/>
      <c r="M15" s="329"/>
      <c r="N15" s="329"/>
      <c r="O15" s="329"/>
      <c r="P15" s="329"/>
      <c r="Q15" s="331"/>
      <c r="S15" s="532"/>
    </row>
    <row r="16" spans="1:19" ht="13.5" customHeight="1">
      <c r="A16" s="327"/>
      <c r="B16" s="741"/>
      <c r="C16" s="744"/>
      <c r="D16" s="754"/>
      <c r="E16" s="744"/>
      <c r="F16" s="745"/>
      <c r="G16" s="745"/>
      <c r="H16" s="745"/>
      <c r="I16" s="746"/>
      <c r="J16" s="752"/>
      <c r="K16" s="708"/>
      <c r="L16" s="361"/>
      <c r="M16" s="361"/>
      <c r="N16" s="361"/>
      <c r="O16" s="361"/>
      <c r="P16" s="361"/>
      <c r="Q16" s="701"/>
      <c r="S16" s="532"/>
    </row>
    <row r="17" spans="1:19" s="365" customFormat="1" ht="13.5" customHeight="1">
      <c r="A17" s="328" t="s">
        <v>252</v>
      </c>
      <c r="B17" s="329"/>
      <c r="C17" s="329"/>
      <c r="D17" s="329"/>
      <c r="E17" s="329"/>
      <c r="F17" s="329"/>
      <c r="G17" s="329"/>
      <c r="H17" s="329"/>
      <c r="I17" s="331"/>
      <c r="J17" s="752"/>
      <c r="K17" s="753"/>
      <c r="L17" s="361"/>
      <c r="M17" s="361"/>
      <c r="N17" s="361"/>
      <c r="O17" s="361"/>
      <c r="P17" s="361"/>
      <c r="Q17" s="701"/>
      <c r="S17" s="529"/>
    </row>
    <row r="18" spans="1:19" s="365" customFormat="1" ht="15.75" customHeight="1">
      <c r="A18" s="327"/>
      <c r="B18" s="741"/>
      <c r="C18" s="755"/>
      <c r="D18" s="755"/>
      <c r="E18" s="755"/>
      <c r="F18" s="755"/>
      <c r="G18" s="755"/>
      <c r="H18" s="755"/>
      <c r="I18" s="756"/>
      <c r="J18" s="752"/>
      <c r="K18" s="753"/>
      <c r="L18" s="361"/>
      <c r="M18" s="361"/>
      <c r="N18" s="361"/>
      <c r="O18" s="361"/>
      <c r="P18" s="361"/>
      <c r="Q18" s="701"/>
      <c r="S18" s="529"/>
    </row>
    <row r="19" spans="1:19" s="365" customFormat="1" ht="13.5" customHeight="1">
      <c r="A19" s="328" t="s">
        <v>253</v>
      </c>
      <c r="B19" s="329"/>
      <c r="C19" s="329"/>
      <c r="D19" s="357"/>
      <c r="E19" s="357"/>
      <c r="F19" s="357"/>
      <c r="G19" s="357"/>
      <c r="H19" s="357"/>
      <c r="I19" s="358"/>
      <c r="J19" s="752"/>
      <c r="K19" s="753"/>
      <c r="L19" s="361"/>
      <c r="M19" s="361"/>
      <c r="N19" s="361"/>
      <c r="O19" s="361"/>
      <c r="P19" s="361"/>
      <c r="Q19" s="701"/>
      <c r="S19" s="529"/>
    </row>
    <row r="20" spans="1:19" s="365" customFormat="1" ht="14.25" customHeight="1">
      <c r="A20" s="327"/>
      <c r="B20" s="741"/>
      <c r="C20" s="755"/>
      <c r="D20" s="755"/>
      <c r="E20" s="755"/>
      <c r="F20" s="755"/>
      <c r="G20" s="755"/>
      <c r="H20" s="755"/>
      <c r="I20" s="756"/>
      <c r="J20" s="752"/>
      <c r="K20" s="707"/>
      <c r="L20" s="361"/>
      <c r="M20" s="361"/>
      <c r="N20" s="361"/>
      <c r="O20" s="361"/>
      <c r="P20" s="361"/>
      <c r="Q20" s="701"/>
      <c r="S20" s="529"/>
    </row>
    <row r="21" spans="1:18" s="365" customFormat="1" ht="12" customHeight="1">
      <c r="A21" s="328" t="s">
        <v>254</v>
      </c>
      <c r="B21" s="329"/>
      <c r="C21" s="329"/>
      <c r="D21" s="329"/>
      <c r="E21" s="329"/>
      <c r="F21" s="329"/>
      <c r="G21" s="329"/>
      <c r="H21" s="329"/>
      <c r="I21" s="331"/>
      <c r="J21" s="360" t="s">
        <v>165</v>
      </c>
      <c r="K21" s="361"/>
      <c r="L21" s="362"/>
      <c r="M21" s="533"/>
      <c r="N21" s="355"/>
      <c r="O21" s="355"/>
      <c r="P21" s="355"/>
      <c r="Q21" s="356"/>
      <c r="R21" s="439"/>
    </row>
    <row r="22" spans="1:18" s="365" customFormat="1" ht="18" customHeight="1">
      <c r="A22" s="491" t="s">
        <v>226</v>
      </c>
      <c r="B22" s="534" t="s">
        <v>164</v>
      </c>
      <c r="C22" s="341"/>
      <c r="D22" s="341"/>
      <c r="E22" s="320" t="s">
        <v>166</v>
      </c>
      <c r="F22" s="534" t="s">
        <v>164</v>
      </c>
      <c r="G22" s="341"/>
      <c r="H22" s="341"/>
      <c r="I22" s="353"/>
      <c r="J22" s="341"/>
      <c r="K22" s="341"/>
      <c r="L22" s="341"/>
      <c r="M22" s="341"/>
      <c r="N22" s="333"/>
      <c r="O22" s="791"/>
      <c r="P22" s="791"/>
      <c r="Q22" s="792"/>
      <c r="R22" s="439"/>
    </row>
    <row r="23" spans="1:17" ht="12" customHeight="1">
      <c r="A23" s="368" t="s">
        <v>358</v>
      </c>
      <c r="B23" s="369"/>
      <c r="C23" s="802"/>
      <c r="D23" s="378"/>
      <c r="E23" s="296"/>
      <c r="F23" s="381" t="s">
        <v>360</v>
      </c>
      <c r="G23" s="366"/>
      <c r="H23" s="366"/>
      <c r="I23" s="367"/>
      <c r="J23" s="995" t="s">
        <v>361</v>
      </c>
      <c r="K23" s="996"/>
      <c r="L23" s="996"/>
      <c r="M23" s="996"/>
      <c r="N23" s="359"/>
      <c r="O23" s="367"/>
      <c r="P23" s="789"/>
      <c r="Q23" s="370"/>
    </row>
    <row r="24" spans="1:17" ht="13.5" customHeight="1">
      <c r="A24" s="1002" t="s">
        <v>249</v>
      </c>
      <c r="B24" s="1003"/>
      <c r="C24" s="1003"/>
      <c r="D24" s="365"/>
      <c r="E24" s="296"/>
      <c r="F24" s="800"/>
      <c r="G24" s="374"/>
      <c r="H24" s="374"/>
      <c r="I24" s="376"/>
      <c r="J24" s="997"/>
      <c r="K24" s="998"/>
      <c r="L24" s="998"/>
      <c r="M24" s="998"/>
      <c r="N24" s="375"/>
      <c r="O24" s="367"/>
      <c r="P24" s="376"/>
      <c r="Q24" s="808"/>
    </row>
    <row r="25" spans="1:17" ht="5.25" customHeight="1">
      <c r="A25" s="371"/>
      <c r="B25" s="784"/>
      <c r="C25" s="400"/>
      <c r="D25" s="397"/>
      <c r="E25" s="296"/>
      <c r="F25" s="372"/>
      <c r="G25" s="385"/>
      <c r="H25" s="385"/>
      <c r="I25" s="376"/>
      <c r="J25" s="613"/>
      <c r="K25" s="296"/>
      <c r="L25" s="364"/>
      <c r="M25" s="375"/>
      <c r="N25" s="373"/>
      <c r="O25" s="367"/>
      <c r="P25" s="376"/>
      <c r="Q25" s="808"/>
    </row>
    <row r="26" spans="1:22" ht="13.5" customHeight="1">
      <c r="A26" s="352" t="s">
        <v>359</v>
      </c>
      <c r="B26" s="801"/>
      <c r="C26" s="802"/>
      <c r="D26" s="802"/>
      <c r="E26" s="803"/>
      <c r="F26" s="328" t="s">
        <v>286</v>
      </c>
      <c r="G26" s="804"/>
      <c r="H26" s="804"/>
      <c r="I26" s="805"/>
      <c r="J26" s="802"/>
      <c r="K26" s="336"/>
      <c r="L26" s="310" t="s">
        <v>362</v>
      </c>
      <c r="M26" s="330"/>
      <c r="N26" s="802"/>
      <c r="O26" s="806"/>
      <c r="P26" s="807"/>
      <c r="Q26" s="809"/>
      <c r="R26" s="365"/>
      <c r="S26" s="365"/>
      <c r="T26" s="365"/>
      <c r="U26" s="365"/>
      <c r="V26" s="365"/>
    </row>
    <row r="27" spans="1:22" ht="15" customHeight="1">
      <c r="A27" s="812"/>
      <c r="B27" s="611"/>
      <c r="C27" s="341"/>
      <c r="D27" s="341"/>
      <c r="E27" s="612"/>
      <c r="F27" s="494"/>
      <c r="G27" s="397"/>
      <c r="H27" s="397"/>
      <c r="I27" s="790"/>
      <c r="J27" s="365"/>
      <c r="K27" s="296"/>
      <c r="L27" s="811"/>
      <c r="M27" s="375"/>
      <c r="N27" s="365"/>
      <c r="O27" s="374"/>
      <c r="P27" s="379"/>
      <c r="Q27" s="810"/>
      <c r="R27" s="365"/>
      <c r="S27" s="365"/>
      <c r="T27" s="365"/>
      <c r="U27" s="365"/>
      <c r="V27" s="365"/>
    </row>
    <row r="28" spans="1:22" s="539" customFormat="1" ht="18.75" customHeight="1">
      <c r="A28" s="319" t="s">
        <v>356</v>
      </c>
      <c r="B28" s="786"/>
      <c r="C28" s="787"/>
      <c r="D28" s="1001" t="s">
        <v>249</v>
      </c>
      <c r="E28" s="1001"/>
      <c r="F28" s="1001"/>
      <c r="G28" s="793"/>
      <c r="H28" s="793"/>
      <c r="I28" s="794"/>
      <c r="J28" s="319" t="s">
        <v>357</v>
      </c>
      <c r="K28" s="795"/>
      <c r="L28" s="796"/>
      <c r="M28" s="797"/>
      <c r="N28" s="796"/>
      <c r="O28" s="796"/>
      <c r="P28" s="798"/>
      <c r="Q28" s="799"/>
      <c r="R28" s="535"/>
      <c r="S28" s="536"/>
      <c r="T28" s="536"/>
      <c r="U28" s="537"/>
      <c r="V28" s="538"/>
    </row>
    <row r="29" spans="1:22" ht="12" customHeight="1">
      <c r="A29" s="363" t="s">
        <v>167</v>
      </c>
      <c r="B29" s="294"/>
      <c r="C29" s="294"/>
      <c r="D29" s="296"/>
      <c r="E29" s="296"/>
      <c r="F29" s="619"/>
      <c r="G29" s="420" t="s">
        <v>168</v>
      </c>
      <c r="H29" s="296"/>
      <c r="I29" s="296"/>
      <c r="J29" s="294"/>
      <c r="K29" s="619"/>
      <c r="L29" s="420" t="s">
        <v>169</v>
      </c>
      <c r="M29" s="296"/>
      <c r="N29" s="296"/>
      <c r="O29" s="296"/>
      <c r="P29" s="296"/>
      <c r="Q29" s="788"/>
      <c r="R29" s="540"/>
      <c r="S29" s="541"/>
      <c r="T29" s="541"/>
      <c r="U29" s="529"/>
      <c r="V29" s="365"/>
    </row>
    <row r="30" spans="1:22" s="544" customFormat="1" ht="13.5" customHeight="1">
      <c r="A30" s="371" t="s">
        <v>202</v>
      </c>
      <c r="B30" s="382"/>
      <c r="C30" s="382"/>
      <c r="D30" s="373"/>
      <c r="E30" s="373"/>
      <c r="F30" s="383"/>
      <c r="G30" s="492" t="s">
        <v>170</v>
      </c>
      <c r="H30" s="493"/>
      <c r="I30" s="493"/>
      <c r="J30" s="490"/>
      <c r="K30" s="305"/>
      <c r="L30" s="494" t="s">
        <v>171</v>
      </c>
      <c r="M30" s="493"/>
      <c r="N30" s="493"/>
      <c r="O30" s="490"/>
      <c r="P30" s="490"/>
      <c r="Q30" s="495"/>
      <c r="R30" s="542"/>
      <c r="S30" s="543"/>
      <c r="T30" s="543"/>
      <c r="U30" s="530"/>
      <c r="V30" s="530"/>
    </row>
    <row r="31" spans="1:22" ht="12" customHeight="1">
      <c r="A31" s="384" t="s">
        <v>172</v>
      </c>
      <c r="B31" s="385"/>
      <c r="C31" s="385"/>
      <c r="D31" s="384" t="s">
        <v>173</v>
      </c>
      <c r="E31" s="385"/>
      <c r="F31" s="386"/>
      <c r="G31" s="387" t="s">
        <v>174</v>
      </c>
      <c r="H31" s="385"/>
      <c r="I31" s="385"/>
      <c r="J31" s="387" t="s">
        <v>175</v>
      </c>
      <c r="K31" s="386"/>
      <c r="L31" s="387" t="s">
        <v>176</v>
      </c>
      <c r="M31" s="385"/>
      <c r="N31" s="385"/>
      <c r="O31" s="385"/>
      <c r="P31" s="387" t="s">
        <v>177</v>
      </c>
      <c r="Q31" s="386"/>
      <c r="R31" s="540"/>
      <c r="S31" s="541"/>
      <c r="T31" s="541"/>
      <c r="U31" s="529"/>
      <c r="V31" s="365"/>
    </row>
    <row r="32" spans="1:22" s="539" customFormat="1" ht="17.25" customHeight="1">
      <c r="A32" s="545"/>
      <c r="B32" s="388"/>
      <c r="C32" s="388"/>
      <c r="D32" s="545"/>
      <c r="E32" s="388"/>
      <c r="F32" s="389"/>
      <c r="G32" s="390"/>
      <c r="H32" s="393"/>
      <c r="I32" s="582">
        <f>IF(Modules!B30&gt;0,Modules!B32,'Total Page'!C24)</f>
        <v>0</v>
      </c>
      <c r="J32" s="583">
        <f>+IF(Modules!B30&gt;0,+Modules!B32+IDC!N13+'Total Page'!C25,+'Total Page'!C26+IDC!N41)</f>
        <v>0</v>
      </c>
      <c r="K32" s="391"/>
      <c r="L32" s="390"/>
      <c r="M32" s="584">
        <f>IF(Modules!G30&gt;0,Modules!G32,'Total Page'!H24)</f>
        <v>0</v>
      </c>
      <c r="N32" s="392"/>
      <c r="O32" s="393"/>
      <c r="P32" s="390"/>
      <c r="Q32" s="585">
        <f>IF(Modules!G30&gt;0,+Modules!G32+IDC!N24+'Total Page'!H25,+'Total Page'!G28+IDC!N52)</f>
        <v>0</v>
      </c>
      <c r="R32" s="538"/>
      <c r="S32" s="538"/>
      <c r="T32" s="538"/>
      <c r="U32" s="538"/>
      <c r="V32" s="538"/>
    </row>
    <row r="33" spans="1:17" ht="12" customHeight="1">
      <c r="A33" s="363" t="s">
        <v>178</v>
      </c>
      <c r="B33" s="294"/>
      <c r="C33" s="294"/>
      <c r="D33" s="296"/>
      <c r="E33" s="296"/>
      <c r="F33" s="296"/>
      <c r="G33" s="294"/>
      <c r="H33" s="294"/>
      <c r="I33" s="296"/>
      <c r="J33" s="363" t="s">
        <v>179</v>
      </c>
      <c r="K33" s="296"/>
      <c r="L33" s="336"/>
      <c r="M33" s="336"/>
      <c r="N33" s="336"/>
      <c r="O33" s="336"/>
      <c r="P33" s="336"/>
      <c r="Q33" s="380"/>
    </row>
    <row r="34" spans="1:17" ht="15.75" customHeight="1">
      <c r="A34" s="394" t="s">
        <v>180</v>
      </c>
      <c r="B34" s="614" t="s">
        <v>448</v>
      </c>
      <c r="C34" s="614"/>
      <c r="D34" s="617"/>
      <c r="E34" s="361"/>
      <c r="F34" s="361"/>
      <c r="G34" s="361"/>
      <c r="H34" s="361"/>
      <c r="I34" s="361"/>
      <c r="J34" s="395"/>
      <c r="K34" s="359" t="s">
        <v>181</v>
      </c>
      <c r="L34" s="396"/>
      <c r="M34" s="618" t="s">
        <v>182</v>
      </c>
      <c r="N34" s="396"/>
      <c r="O34" s="296" t="s">
        <v>183</v>
      </c>
      <c r="P34" s="396"/>
      <c r="Q34" s="619" t="s">
        <v>184</v>
      </c>
    </row>
    <row r="35" spans="1:17" ht="15.75" customHeight="1">
      <c r="A35" s="377" t="s">
        <v>185</v>
      </c>
      <c r="B35" s="699" t="s">
        <v>186</v>
      </c>
      <c r="C35" s="699"/>
      <c r="D35" s="617"/>
      <c r="E35" s="361"/>
      <c r="F35" s="361"/>
      <c r="G35" s="361"/>
      <c r="H35" s="361"/>
      <c r="I35" s="705"/>
      <c r="J35" s="395"/>
      <c r="K35" s="359" t="s">
        <v>187</v>
      </c>
      <c r="L35" s="399" t="s">
        <v>188</v>
      </c>
      <c r="M35" s="294" t="s">
        <v>189</v>
      </c>
      <c r="N35" s="400"/>
      <c r="O35" s="294"/>
      <c r="P35" s="400"/>
      <c r="Q35" s="401"/>
    </row>
    <row r="36" spans="1:17" ht="17.25" customHeight="1">
      <c r="A36" s="706"/>
      <c r="B36" s="699" t="s">
        <v>352</v>
      </c>
      <c r="C36" s="699"/>
      <c r="D36" s="700"/>
      <c r="E36" s="361"/>
      <c r="F36" s="361"/>
      <c r="G36" s="361"/>
      <c r="H36" s="361"/>
      <c r="I36" s="361"/>
      <c r="J36" s="395"/>
      <c r="K36" s="359" t="s">
        <v>190</v>
      </c>
      <c r="L36" s="396"/>
      <c r="M36" s="294" t="s">
        <v>191</v>
      </c>
      <c r="N36" s="396"/>
      <c r="O36" s="359" t="s">
        <v>192</v>
      </c>
      <c r="P36" s="400"/>
      <c r="Q36" s="398"/>
    </row>
    <row r="37" spans="1:17" ht="21" customHeight="1">
      <c r="A37" s="706"/>
      <c r="B37" s="699" t="s">
        <v>467</v>
      </c>
      <c r="C37" s="699"/>
      <c r="D37" s="700"/>
      <c r="E37" s="361"/>
      <c r="F37" s="361"/>
      <c r="G37" s="361"/>
      <c r="H37" s="361"/>
      <c r="I37" s="361"/>
      <c r="J37" s="620" t="s">
        <v>290</v>
      </c>
      <c r="K37" s="402"/>
      <c r="L37" s="403"/>
      <c r="M37" s="320" t="s">
        <v>229</v>
      </c>
      <c r="N37" s="396"/>
      <c r="O37" s="402"/>
      <c r="P37" s="400"/>
      <c r="Q37" s="398"/>
    </row>
    <row r="38" spans="1:17" ht="13.5" customHeight="1">
      <c r="A38" s="706"/>
      <c r="B38" s="699" t="s">
        <v>468</v>
      </c>
      <c r="C38" s="699"/>
      <c r="D38" s="361"/>
      <c r="E38" s="361"/>
      <c r="F38" s="361"/>
      <c r="G38" s="361"/>
      <c r="H38" s="361"/>
      <c r="I38" s="361"/>
      <c r="J38" s="368" t="s">
        <v>228</v>
      </c>
      <c r="K38" s="404"/>
      <c r="L38" s="404"/>
      <c r="M38" s="404"/>
      <c r="N38" s="324"/>
      <c r="O38" s="614" t="s">
        <v>193</v>
      </c>
      <c r="P38" s="615"/>
      <c r="Q38" s="496"/>
    </row>
    <row r="39" spans="1:17" ht="13.5" customHeight="1">
      <c r="A39" s="706"/>
      <c r="B39" s="707"/>
      <c r="C39" s="707"/>
      <c r="D39" s="361"/>
      <c r="E39" s="361"/>
      <c r="F39" s="361"/>
      <c r="G39" s="361"/>
      <c r="H39" s="361"/>
      <c r="I39" s="705"/>
      <c r="J39" s="408"/>
      <c r="L39" s="405"/>
      <c r="M39" s="405"/>
      <c r="N39" s="405"/>
      <c r="O39" s="405"/>
      <c r="P39" s="405"/>
      <c r="Q39" s="406"/>
    </row>
    <row r="40" spans="1:17" ht="16.5" customHeight="1">
      <c r="A40" s="497"/>
      <c r="B40" s="707"/>
      <c r="C40" s="707"/>
      <c r="D40" s="361"/>
      <c r="E40" s="708"/>
      <c r="F40" s="361"/>
      <c r="G40" s="361"/>
      <c r="H40" s="361"/>
      <c r="I40" s="705"/>
      <c r="J40" s="407" t="s">
        <v>287</v>
      </c>
      <c r="K40" s="614" t="s">
        <v>289</v>
      </c>
      <c r="M40" s="546"/>
      <c r="N40" s="616" t="s">
        <v>288</v>
      </c>
      <c r="O40" s="341"/>
      <c r="P40" s="409"/>
      <c r="Q40" s="410" t="s">
        <v>447</v>
      </c>
    </row>
    <row r="41" spans="1:17" ht="12" customHeight="1">
      <c r="A41" s="381" t="s">
        <v>232</v>
      </c>
      <c r="B41" s="336"/>
      <c r="C41" s="336"/>
      <c r="D41" s="336"/>
      <c r="E41" s="336"/>
      <c r="F41" s="336"/>
      <c r="G41" s="336"/>
      <c r="H41" s="336"/>
      <c r="I41" s="380"/>
      <c r="J41" s="368" t="s">
        <v>233</v>
      </c>
      <c r="K41" s="336"/>
      <c r="L41" s="336"/>
      <c r="M41" s="296"/>
      <c r="N41" s="336"/>
      <c r="O41" s="296"/>
      <c r="P41" s="336"/>
      <c r="Q41" s="380"/>
    </row>
    <row r="42" spans="1:17" ht="12" customHeight="1">
      <c r="A42" s="411" t="s">
        <v>180</v>
      </c>
      <c r="B42" s="699" t="s">
        <v>416</v>
      </c>
      <c r="C42" s="699"/>
      <c r="D42" s="700"/>
      <c r="E42" s="361"/>
      <c r="F42" s="361"/>
      <c r="G42" s="361"/>
      <c r="H42" s="361"/>
      <c r="I42" s="701"/>
      <c r="J42" s="420" t="s">
        <v>180</v>
      </c>
      <c r="K42" s="702"/>
      <c r="L42" s="361"/>
      <c r="M42" s="700"/>
      <c r="N42" s="700"/>
      <c r="O42" s="361"/>
      <c r="P42" s="361"/>
      <c r="Q42" s="701"/>
    </row>
    <row r="43" spans="1:17" ht="12" customHeight="1">
      <c r="A43" s="411" t="s">
        <v>194</v>
      </c>
      <c r="B43" s="699" t="s">
        <v>417</v>
      </c>
      <c r="C43" s="699"/>
      <c r="D43" s="700"/>
      <c r="E43" s="361"/>
      <c r="F43" s="361"/>
      <c r="G43" s="361"/>
      <c r="H43" s="361"/>
      <c r="I43" s="701"/>
      <c r="J43" s="420" t="s">
        <v>194</v>
      </c>
      <c r="K43" s="702"/>
      <c r="L43" s="361"/>
      <c r="M43" s="700"/>
      <c r="N43" s="700"/>
      <c r="O43" s="361"/>
      <c r="P43" s="361"/>
      <c r="Q43" s="701"/>
    </row>
    <row r="44" spans="1:17" ht="14.25" customHeight="1">
      <c r="A44" s="411" t="s">
        <v>185</v>
      </c>
      <c r="B44" s="699" t="s">
        <v>352</v>
      </c>
      <c r="C44" s="699"/>
      <c r="D44" s="700"/>
      <c r="E44" s="361"/>
      <c r="F44" s="361"/>
      <c r="G44" s="361"/>
      <c r="H44" s="361"/>
      <c r="I44" s="701"/>
      <c r="J44" s="420" t="s">
        <v>185</v>
      </c>
      <c r="K44" s="699" t="s">
        <v>352</v>
      </c>
      <c r="L44" s="361"/>
      <c r="M44" s="700"/>
      <c r="N44" s="700"/>
      <c r="O44" s="361"/>
      <c r="P44" s="361"/>
      <c r="Q44" s="701"/>
    </row>
    <row r="45" spans="1:17" ht="12" customHeight="1">
      <c r="A45" s="411"/>
      <c r="B45" s="699" t="s">
        <v>467</v>
      </c>
      <c r="C45" s="699"/>
      <c r="D45" s="700"/>
      <c r="E45" s="361"/>
      <c r="F45" s="361"/>
      <c r="G45" s="361"/>
      <c r="H45" s="361"/>
      <c r="I45" s="701"/>
      <c r="J45" s="411"/>
      <c r="K45" s="699" t="s">
        <v>467</v>
      </c>
      <c r="L45" s="361"/>
      <c r="M45" s="700"/>
      <c r="N45" s="700"/>
      <c r="O45" s="361"/>
      <c r="P45" s="361"/>
      <c r="Q45" s="701"/>
    </row>
    <row r="46" spans="1:17" ht="12" customHeight="1">
      <c r="A46" s="411"/>
      <c r="B46" s="699" t="s">
        <v>468</v>
      </c>
      <c r="C46" s="699"/>
      <c r="D46" s="700"/>
      <c r="E46" s="361"/>
      <c r="F46" s="361"/>
      <c r="G46" s="361"/>
      <c r="H46" s="361"/>
      <c r="I46" s="701"/>
      <c r="J46" s="411"/>
      <c r="K46" s="699" t="s">
        <v>468</v>
      </c>
      <c r="L46" s="361"/>
      <c r="M46" s="700"/>
      <c r="N46" s="700"/>
      <c r="O46" s="361"/>
      <c r="P46" s="361"/>
      <c r="Q46" s="701"/>
    </row>
    <row r="47" spans="1:17" ht="12" customHeight="1">
      <c r="A47" s="411"/>
      <c r="C47" s="699"/>
      <c r="D47" s="700"/>
      <c r="E47" s="361"/>
      <c r="F47" s="361"/>
      <c r="G47" s="361"/>
      <c r="H47" s="361"/>
      <c r="I47" s="701"/>
      <c r="J47" s="411"/>
      <c r="K47" s="703"/>
      <c r="L47" s="361"/>
      <c r="M47" s="700"/>
      <c r="N47" s="700"/>
      <c r="O47" s="361"/>
      <c r="P47" s="361"/>
      <c r="Q47" s="701"/>
    </row>
    <row r="48" spans="1:17" ht="12" customHeight="1">
      <c r="A48" s="411"/>
      <c r="B48" s="699"/>
      <c r="C48" s="699"/>
      <c r="D48" s="361"/>
      <c r="E48" s="361"/>
      <c r="F48" s="361"/>
      <c r="G48" s="361"/>
      <c r="H48" s="361"/>
      <c r="I48" s="701"/>
      <c r="J48" s="411"/>
      <c r="K48" s="703"/>
      <c r="L48" s="361"/>
      <c r="M48" s="700"/>
      <c r="N48" s="700"/>
      <c r="O48" s="361"/>
      <c r="P48" s="361"/>
      <c r="Q48" s="701"/>
    </row>
    <row r="49" spans="1:17" ht="12" customHeight="1">
      <c r="A49" s="411" t="s">
        <v>195</v>
      </c>
      <c r="B49" s="699" t="s">
        <v>394</v>
      </c>
      <c r="C49" s="699"/>
      <c r="D49" s="361"/>
      <c r="E49" s="397" t="s">
        <v>197</v>
      </c>
      <c r="F49" s="699" t="s">
        <v>350</v>
      </c>
      <c r="G49" s="361"/>
      <c r="H49" s="361"/>
      <c r="I49" s="701"/>
      <c r="J49" s="420" t="s">
        <v>196</v>
      </c>
      <c r="K49" s="757" t="s">
        <v>393</v>
      </c>
      <c r="L49" s="361"/>
      <c r="M49" s="700"/>
      <c r="N49" s="700"/>
      <c r="O49" s="296" t="s">
        <v>197</v>
      </c>
      <c r="P49" s="757" t="s">
        <v>351</v>
      </c>
      <c r="Q49" s="701"/>
    </row>
    <row r="50" spans="1:17" ht="15" customHeight="1">
      <c r="A50" s="412" t="s">
        <v>198</v>
      </c>
      <c r="B50" s="413" t="s">
        <v>199</v>
      </c>
      <c r="C50" s="704"/>
      <c r="D50" s="361"/>
      <c r="E50" s="361"/>
      <c r="F50" s="361"/>
      <c r="G50" s="361"/>
      <c r="H50" s="361"/>
      <c r="I50" s="701"/>
      <c r="J50" s="758" t="s">
        <v>198</v>
      </c>
      <c r="K50" s="999"/>
      <c r="L50" s="1000"/>
      <c r="N50" s="361"/>
      <c r="O50" s="361"/>
      <c r="P50" s="759" t="s">
        <v>353</v>
      </c>
      <c r="Q50" s="701"/>
    </row>
    <row r="51" spans="1:17" s="365" customFormat="1" ht="9" customHeight="1">
      <c r="A51" s="414"/>
      <c r="B51" s="299"/>
      <c r="C51" s="299"/>
      <c r="D51" s="415"/>
      <c r="E51" s="415"/>
      <c r="F51" s="415"/>
      <c r="G51" s="415"/>
      <c r="H51" s="415"/>
      <c r="I51" s="416"/>
      <c r="J51" s="417"/>
      <c r="K51" s="299"/>
      <c r="L51" s="415"/>
      <c r="M51" s="415"/>
      <c r="N51" s="415"/>
      <c r="O51" s="415"/>
      <c r="P51" s="415"/>
      <c r="Q51" s="418"/>
    </row>
    <row r="52" spans="1:19" ht="9.75" customHeight="1">
      <c r="A52" s="328" t="s">
        <v>344</v>
      </c>
      <c r="B52" s="329"/>
      <c r="C52" s="329"/>
      <c r="D52" s="329"/>
      <c r="E52" s="329"/>
      <c r="F52" s="329"/>
      <c r="G52" s="329"/>
      <c r="H52" s="329"/>
      <c r="I52" s="331"/>
      <c r="J52" s="328" t="s">
        <v>234</v>
      </c>
      <c r="K52" s="329"/>
      <c r="L52" s="329"/>
      <c r="M52" s="329"/>
      <c r="N52" s="329"/>
      <c r="O52" s="329"/>
      <c r="P52" s="331"/>
      <c r="Q52" s="419" t="s">
        <v>200</v>
      </c>
      <c r="S52" s="365"/>
    </row>
    <row r="53" spans="1:19" ht="10.5" customHeight="1">
      <c r="A53" s="420"/>
      <c r="B53" s="294"/>
      <c r="C53" s="294"/>
      <c r="D53" s="294"/>
      <c r="E53" s="294"/>
      <c r="F53" s="294"/>
      <c r="G53" s="294"/>
      <c r="H53" s="294"/>
      <c r="I53" s="421"/>
      <c r="J53" s="432" t="s">
        <v>230</v>
      </c>
      <c r="K53" s="325"/>
      <c r="L53" s="325"/>
      <c r="M53" s="325"/>
      <c r="N53" s="325"/>
      <c r="O53" s="325"/>
      <c r="P53" s="422"/>
      <c r="Q53" s="433"/>
      <c r="S53" s="365"/>
    </row>
    <row r="54" spans="1:19" ht="15" customHeight="1">
      <c r="A54" s="420"/>
      <c r="B54" s="294"/>
      <c r="C54" s="294"/>
      <c r="D54" s="294"/>
      <c r="E54" s="294"/>
      <c r="F54" s="294"/>
      <c r="G54" s="294"/>
      <c r="H54" s="294"/>
      <c r="I54" s="421"/>
      <c r="J54" s="423"/>
      <c r="K54" s="424"/>
      <c r="L54" s="424"/>
      <c r="M54" s="424"/>
      <c r="N54" s="424"/>
      <c r="O54" s="424"/>
      <c r="P54" s="425"/>
      <c r="Q54" s="426"/>
      <c r="S54" s="365"/>
    </row>
    <row r="55" spans="1:19" ht="15" customHeight="1">
      <c r="A55" s="420"/>
      <c r="B55" s="294"/>
      <c r="C55" s="294"/>
      <c r="D55" s="294"/>
      <c r="E55" s="294"/>
      <c r="F55" s="294"/>
      <c r="G55" s="294"/>
      <c r="H55" s="294"/>
      <c r="I55" s="421"/>
      <c r="J55" s="423"/>
      <c r="K55" s="424"/>
      <c r="L55" s="424"/>
      <c r="M55" s="424"/>
      <c r="N55" s="424"/>
      <c r="O55" s="424"/>
      <c r="P55" s="425"/>
      <c r="Q55" s="434"/>
      <c r="S55" s="365"/>
    </row>
    <row r="56" spans="1:19" ht="14.25" customHeight="1">
      <c r="A56" s="414"/>
      <c r="B56" s="299"/>
      <c r="C56" s="299"/>
      <c r="D56" s="299"/>
      <c r="E56" s="299"/>
      <c r="F56" s="299"/>
      <c r="G56" s="299"/>
      <c r="H56" s="299"/>
      <c r="I56" s="427"/>
      <c r="J56" s="428"/>
      <c r="K56" s="429"/>
      <c r="L56" s="429"/>
      <c r="M56" s="429"/>
      <c r="N56" s="429"/>
      <c r="O56" s="429"/>
      <c r="P56" s="430"/>
      <c r="Q56" s="431"/>
      <c r="S56" s="365"/>
    </row>
    <row r="57" spans="1:17" s="544" customFormat="1" ht="16.5" customHeight="1">
      <c r="A57" s="860" t="s">
        <v>399</v>
      </c>
      <c r="B57" s="435"/>
      <c r="C57" s="435"/>
      <c r="D57" s="435"/>
      <c r="E57" s="435"/>
      <c r="F57" s="435"/>
      <c r="G57" s="435"/>
      <c r="H57" s="435"/>
      <c r="I57" s="501" t="s">
        <v>201</v>
      </c>
      <c r="J57" s="436"/>
      <c r="K57" s="307"/>
      <c r="L57" s="373"/>
      <c r="M57" s="373"/>
      <c r="N57" s="373"/>
      <c r="O57" s="437"/>
      <c r="P57" s="373"/>
      <c r="Q57" s="498" t="s">
        <v>227</v>
      </c>
    </row>
    <row r="58" spans="4:15" ht="14.25" customHeight="1">
      <c r="D58" s="438"/>
      <c r="E58" s="438"/>
      <c r="M58" s="532"/>
      <c r="N58" s="532"/>
      <c r="O58" s="547"/>
    </row>
    <row r="59" spans="1:14" ht="14.25" customHeight="1">
      <c r="A59" s="548"/>
      <c r="B59" s="548"/>
      <c r="C59" s="548"/>
      <c r="M59" s="532"/>
      <c r="N59" s="532"/>
    </row>
    <row r="60" spans="1:17" ht="12.75">
      <c r="A60" s="547"/>
      <c r="B60" s="547"/>
      <c r="C60" s="547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</row>
    <row r="61" spans="2:17" ht="12.75">
      <c r="B61" s="549"/>
      <c r="C61" s="549"/>
      <c r="D61" s="550"/>
      <c r="E61" s="551"/>
      <c r="F61" s="552"/>
      <c r="G61" s="535"/>
      <c r="H61" s="535"/>
      <c r="I61" s="535"/>
      <c r="J61" s="535"/>
      <c r="K61" s="365"/>
      <c r="L61" s="365"/>
      <c r="M61" s="365"/>
      <c r="N61" s="365"/>
      <c r="O61" s="365"/>
      <c r="P61" s="365"/>
      <c r="Q61" s="365"/>
    </row>
    <row r="62" spans="4:17" ht="12.75">
      <c r="D62" s="553"/>
      <c r="E62" s="551"/>
      <c r="F62" s="552"/>
      <c r="G62" s="535"/>
      <c r="H62" s="535"/>
      <c r="I62" s="535"/>
      <c r="J62" s="535"/>
      <c r="K62" s="365"/>
      <c r="L62" s="365"/>
      <c r="M62" s="365"/>
      <c r="N62" s="365"/>
      <c r="O62" s="365"/>
      <c r="P62" s="365"/>
      <c r="Q62" s="365"/>
    </row>
    <row r="63" spans="4:17" ht="12.75">
      <c r="D63" s="554"/>
      <c r="E63" s="551"/>
      <c r="F63" s="552"/>
      <c r="G63" s="535"/>
      <c r="H63" s="535"/>
      <c r="I63" s="535"/>
      <c r="J63" s="535"/>
      <c r="K63" s="365"/>
      <c r="L63" s="365"/>
      <c r="M63" s="365"/>
      <c r="N63" s="365"/>
      <c r="O63" s="365"/>
      <c r="P63" s="365"/>
      <c r="Q63" s="365"/>
    </row>
    <row r="64" spans="4:17" ht="12.75">
      <c r="D64" s="555"/>
      <c r="E64" s="551"/>
      <c r="F64" s="552"/>
      <c r="G64" s="535"/>
      <c r="H64" s="535"/>
      <c r="I64" s="535"/>
      <c r="J64" s="535"/>
      <c r="K64" s="365"/>
      <c r="L64" s="365"/>
      <c r="M64" s="365"/>
      <c r="N64" s="365"/>
      <c r="O64" s="365"/>
      <c r="P64" s="365"/>
      <c r="Q64" s="365"/>
    </row>
    <row r="65" spans="4:17" ht="11.25">
      <c r="D65" s="556"/>
      <c r="E65" s="551"/>
      <c r="F65" s="557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</row>
    <row r="66" spans="4:17" ht="11.25"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5"/>
    </row>
    <row r="67" spans="4:17" ht="11.25"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365"/>
      <c r="Q67" s="365"/>
    </row>
    <row r="71" spans="34:38" ht="12.75">
      <c r="AH71" s="547"/>
      <c r="AI71" s="547"/>
      <c r="AJ71" s="547"/>
      <c r="AK71" s="547"/>
      <c r="AL71" s="547"/>
    </row>
    <row r="72" spans="34:38" ht="12.75">
      <c r="AH72" s="547"/>
      <c r="AI72" s="547"/>
      <c r="AJ72" s="547"/>
      <c r="AK72" s="547"/>
      <c r="AL72" s="547"/>
    </row>
    <row r="73" spans="34:38" ht="12.75">
      <c r="AH73" s="547"/>
      <c r="AI73" s="547"/>
      <c r="AJ73" s="547"/>
      <c r="AK73" s="547"/>
      <c r="AL73" s="547"/>
    </row>
    <row r="74" spans="34:38" ht="12.75">
      <c r="AH74" s="547"/>
      <c r="AI74" s="547"/>
      <c r="AJ74" s="547"/>
      <c r="AK74" s="547"/>
      <c r="AL74" s="547"/>
    </row>
    <row r="75" spans="34:38" ht="12.75">
      <c r="AH75" s="547"/>
      <c r="AI75" s="547"/>
      <c r="AJ75" s="547"/>
      <c r="AK75" s="547"/>
      <c r="AL75" s="547"/>
    </row>
    <row r="76" spans="34:38" ht="12.75">
      <c r="AH76" s="547"/>
      <c r="AI76" s="547"/>
      <c r="AJ76" s="547"/>
      <c r="AK76" s="547"/>
      <c r="AL76" s="547"/>
    </row>
    <row r="77" spans="34:38" ht="12.75">
      <c r="AH77" s="547"/>
      <c r="AI77" s="547"/>
      <c r="AJ77" s="547"/>
      <c r="AK77" s="547"/>
      <c r="AL77" s="547"/>
    </row>
    <row r="78" spans="34:38" ht="12.75">
      <c r="AH78" s="547"/>
      <c r="AI78" s="547"/>
      <c r="AJ78" s="547"/>
      <c r="AK78" s="547"/>
      <c r="AL78" s="547"/>
    </row>
    <row r="79" spans="1:38" ht="12.75">
      <c r="A79" s="558"/>
      <c r="B79" s="558"/>
      <c r="C79" s="558"/>
      <c r="D79" s="559"/>
      <c r="E79" s="559"/>
      <c r="F79" s="558"/>
      <c r="G79" s="558"/>
      <c r="H79" s="558"/>
      <c r="I79" s="558"/>
      <c r="AH79" s="547"/>
      <c r="AI79" s="547"/>
      <c r="AJ79" s="547"/>
      <c r="AK79" s="547"/>
      <c r="AL79" s="547"/>
    </row>
    <row r="80" spans="1:38" ht="12.75">
      <c r="A80" s="558"/>
      <c r="B80" s="558"/>
      <c r="C80" s="558"/>
      <c r="D80" s="560"/>
      <c r="E80" s="558"/>
      <c r="F80" s="558"/>
      <c r="G80" s="558"/>
      <c r="H80" s="558"/>
      <c r="I80" s="558"/>
      <c r="AH80" s="547"/>
      <c r="AI80" s="547"/>
      <c r="AJ80" s="547"/>
      <c r="AK80" s="547"/>
      <c r="AL80" s="547"/>
    </row>
    <row r="81" spans="1:38" ht="12.75">
      <c r="A81" s="558"/>
      <c r="B81" s="560"/>
      <c r="C81" s="560"/>
      <c r="D81" s="559"/>
      <c r="E81" s="559"/>
      <c r="F81" s="560"/>
      <c r="G81" s="558"/>
      <c r="H81" s="558"/>
      <c r="I81" s="558"/>
      <c r="AH81" s="547"/>
      <c r="AI81" s="547"/>
      <c r="AJ81" s="547"/>
      <c r="AK81" s="547"/>
      <c r="AL81" s="547"/>
    </row>
    <row r="82" spans="1:38" ht="12.75">
      <c r="A82" s="558"/>
      <c r="B82" s="560"/>
      <c r="C82" s="560"/>
      <c r="D82" s="558"/>
      <c r="E82" s="558"/>
      <c r="F82" s="558"/>
      <c r="G82" s="558"/>
      <c r="H82" s="558"/>
      <c r="I82" s="558"/>
      <c r="AH82" s="547"/>
      <c r="AI82" s="547"/>
      <c r="AJ82" s="547"/>
      <c r="AK82" s="547"/>
      <c r="AL82" s="547"/>
    </row>
    <row r="83" spans="1:38" ht="12.75">
      <c r="A83" s="558"/>
      <c r="B83" s="560"/>
      <c r="C83" s="560"/>
      <c r="D83" s="560"/>
      <c r="E83" s="558"/>
      <c r="F83" s="558"/>
      <c r="G83" s="560"/>
      <c r="H83" s="560"/>
      <c r="I83" s="558"/>
      <c r="AH83" s="547"/>
      <c r="AI83" s="547"/>
      <c r="AJ83" s="547"/>
      <c r="AK83" s="547"/>
      <c r="AL83" s="547"/>
    </row>
    <row r="84" spans="1:38" ht="12.75">
      <c r="A84" s="558"/>
      <c r="B84" s="560"/>
      <c r="C84" s="560"/>
      <c r="D84" s="558"/>
      <c r="E84" s="558"/>
      <c r="F84" s="558"/>
      <c r="G84" s="560"/>
      <c r="H84" s="560"/>
      <c r="I84" s="558"/>
      <c r="AH84" s="547"/>
      <c r="AI84" s="547"/>
      <c r="AJ84" s="547"/>
      <c r="AK84" s="547"/>
      <c r="AL84" s="547"/>
    </row>
    <row r="85" spans="1:38" ht="12.75">
      <c r="A85" s="558"/>
      <c r="B85" s="560"/>
      <c r="C85" s="560"/>
      <c r="D85" s="558"/>
      <c r="E85" s="558"/>
      <c r="F85" s="558"/>
      <c r="G85" s="560"/>
      <c r="H85" s="560"/>
      <c r="I85" s="558"/>
      <c r="AH85" s="547"/>
      <c r="AI85" s="547"/>
      <c r="AJ85" s="547"/>
      <c r="AK85" s="547"/>
      <c r="AL85" s="547"/>
    </row>
    <row r="86" spans="1:38" ht="12.75">
      <c r="A86" s="558"/>
      <c r="B86" s="560"/>
      <c r="C86" s="560"/>
      <c r="D86" s="558"/>
      <c r="E86" s="558"/>
      <c r="F86" s="558"/>
      <c r="G86" s="560"/>
      <c r="H86" s="560"/>
      <c r="I86" s="558"/>
      <c r="AH86" s="547"/>
      <c r="AI86" s="547"/>
      <c r="AJ86" s="547"/>
      <c r="AK86" s="547"/>
      <c r="AL86" s="547"/>
    </row>
    <row r="87" spans="1:9" ht="11.25">
      <c r="A87" s="558"/>
      <c r="B87" s="560"/>
      <c r="C87" s="560"/>
      <c r="D87" s="558"/>
      <c r="E87" s="558"/>
      <c r="F87" s="558"/>
      <c r="G87" s="560"/>
      <c r="H87" s="560"/>
      <c r="I87" s="558"/>
    </row>
    <row r="88" spans="1:9" ht="11.25">
      <c r="A88" s="558"/>
      <c r="B88" s="558"/>
      <c r="C88" s="558"/>
      <c r="D88" s="558"/>
      <c r="E88" s="558"/>
      <c r="F88" s="558"/>
      <c r="G88" s="558"/>
      <c r="H88" s="558"/>
      <c r="I88" s="558"/>
    </row>
    <row r="89" spans="1:9" ht="11.25">
      <c r="A89" s="558"/>
      <c r="B89" s="560"/>
      <c r="C89" s="560"/>
      <c r="D89" s="558"/>
      <c r="E89" s="558"/>
      <c r="F89" s="558"/>
      <c r="G89" s="558"/>
      <c r="H89" s="558"/>
      <c r="I89" s="558"/>
    </row>
    <row r="90" spans="1:9" ht="11.25">
      <c r="A90" s="558"/>
      <c r="B90" s="558"/>
      <c r="C90" s="558"/>
      <c r="D90" s="558"/>
      <c r="E90" s="558"/>
      <c r="F90" s="558"/>
      <c r="G90" s="558"/>
      <c r="H90" s="558"/>
      <c r="I90" s="558"/>
    </row>
    <row r="91" spans="1:9" ht="11.25">
      <c r="A91" s="558"/>
      <c r="B91" s="560"/>
      <c r="C91" s="560"/>
      <c r="D91" s="560"/>
      <c r="E91" s="558"/>
      <c r="F91" s="558"/>
      <c r="G91" s="558"/>
      <c r="H91" s="558"/>
      <c r="I91" s="558"/>
    </row>
    <row r="92" spans="1:9" ht="11.25">
      <c r="A92" s="558"/>
      <c r="B92" s="558"/>
      <c r="C92" s="558"/>
      <c r="D92" s="558"/>
      <c r="E92" s="558"/>
      <c r="F92" s="558"/>
      <c r="G92" s="558"/>
      <c r="H92" s="558"/>
      <c r="I92" s="558"/>
    </row>
  </sheetData>
  <sheetProtection sheet="1" objects="1" scenarios="1"/>
  <mergeCells count="4">
    <mergeCell ref="J23:M24"/>
    <mergeCell ref="K50:L50"/>
    <mergeCell ref="D28:F28"/>
    <mergeCell ref="A24:C24"/>
  </mergeCells>
  <printOptions horizontalCentered="1"/>
  <pageMargins left="0.395" right="0.395" top="0.395" bottom="0.25" header="0" footer="0"/>
  <pageSetup fitToHeight="1" fitToWidth="1" orientation="portrait" scale="9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 transitionEvaluation="1" transitionEntry="1">
    <pageSetUpPr fitToPage="1"/>
  </sheetPr>
  <dimension ref="A1:FJ129"/>
  <sheetViews>
    <sheetView showGridLines="0" showZeros="0" zoomScalePageLayoutView="0" workbookViewId="0" topLeftCell="A1">
      <selection activeCell="B29" sqref="B29"/>
    </sheetView>
  </sheetViews>
  <sheetFormatPr defaultColWidth="7.140625" defaultRowHeight="12.75"/>
  <cols>
    <col min="1" max="1" width="6.421875" style="45" customWidth="1"/>
    <col min="2" max="2" width="10.7109375" style="45" customWidth="1"/>
    <col min="3" max="3" width="24.140625" style="45" customWidth="1"/>
    <col min="4" max="5" width="14.00390625" style="45" customWidth="1"/>
    <col min="6" max="6" width="7.28125" style="45" customWidth="1"/>
    <col min="7" max="8" width="6.8515625" style="45" customWidth="1"/>
    <col min="9" max="9" width="10.421875" style="45" customWidth="1"/>
    <col min="10" max="11" width="12.00390625" style="45" customWidth="1"/>
    <col min="12" max="12" width="12.421875" style="45" customWidth="1"/>
    <col min="13" max="181" width="7.140625" style="45" customWidth="1"/>
    <col min="182" max="16384" width="7.140625" style="45" customWidth="1"/>
  </cols>
  <sheetData>
    <row r="1" spans="1:4" ht="15" customHeight="1">
      <c r="A1" s="43"/>
      <c r="B1" s="44" t="s">
        <v>49</v>
      </c>
      <c r="C1" s="44"/>
      <c r="D1" s="605">
        <f>IF(AND(Subcontracts!$Z$50=1),'Year 2'!AD30,IF(AND(Subcontracts!$Z$50=2),'Year 2'!AD42,IF(AND(Subcontracts!$Z$50=3),'Year 2'!AD53,IF(AND(Subcontracts!$Z$50=4),'Year 2'!AD65,0))))</f>
        <v>0</v>
      </c>
    </row>
    <row r="2" spans="1:4" ht="15" customHeight="1">
      <c r="A2" s="43"/>
      <c r="B2" s="43"/>
      <c r="C2" s="43"/>
      <c r="D2" s="43"/>
    </row>
    <row r="3" spans="1:4" ht="15" customHeight="1">
      <c r="A3" s="43"/>
      <c r="B3" s="43"/>
      <c r="C3" s="43"/>
      <c r="D3" s="43"/>
    </row>
    <row r="4" spans="1:4" ht="15" customHeight="1">
      <c r="A4" s="43"/>
      <c r="B4" s="43"/>
      <c r="C4" s="43"/>
      <c r="D4" s="43"/>
    </row>
    <row r="5" spans="1:4" ht="15" customHeight="1">
      <c r="A5" s="43"/>
      <c r="B5" s="43"/>
      <c r="C5" s="43"/>
      <c r="D5" s="43"/>
    </row>
    <row r="6" spans="1:4" ht="15" customHeight="1">
      <c r="A6" s="43"/>
      <c r="B6" s="43"/>
      <c r="C6" s="43"/>
      <c r="D6" s="43"/>
    </row>
    <row r="7" spans="1:4" ht="6" customHeight="1">
      <c r="A7" s="43"/>
      <c r="B7" s="43"/>
      <c r="C7" s="46"/>
      <c r="D7" s="43"/>
    </row>
    <row r="8" spans="3:166" ht="17.25" customHeight="1">
      <c r="C8" s="47"/>
      <c r="E8" s="586" t="s">
        <v>363</v>
      </c>
      <c r="F8" s="671">
        <f>FacePage!$B$14</f>
        <v>0</v>
      </c>
      <c r="G8" s="50"/>
      <c r="H8" s="50"/>
      <c r="K8" s="50"/>
      <c r="L8" s="50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</row>
    <row r="9" spans="2:12" ht="6.75" customHeight="1">
      <c r="B9" s="53"/>
      <c r="C9" s="54"/>
      <c r="D9" s="52"/>
      <c r="E9" s="52"/>
      <c r="F9" s="52"/>
      <c r="G9" s="52"/>
      <c r="H9" s="775"/>
      <c r="I9" s="50"/>
      <c r="K9" s="52"/>
      <c r="L9" s="52"/>
    </row>
    <row r="10" spans="2:12" ht="3" customHeight="1">
      <c r="B10" s="56"/>
      <c r="C10" s="57"/>
      <c r="D10" s="58"/>
      <c r="E10" s="50"/>
      <c r="F10" s="50"/>
      <c r="G10" s="50"/>
      <c r="H10" s="50"/>
      <c r="I10" s="55"/>
      <c r="J10" s="55"/>
      <c r="K10" s="59"/>
      <c r="L10" s="50"/>
    </row>
    <row r="11" spans="2:11" ht="9" customHeight="1">
      <c r="B11" s="60"/>
      <c r="C11" s="50"/>
      <c r="D11" s="50"/>
      <c r="I11" s="50"/>
      <c r="J11" s="61" t="s">
        <v>51</v>
      </c>
      <c r="K11" s="62" t="s">
        <v>52</v>
      </c>
    </row>
    <row r="12" spans="2:11" ht="12" customHeight="1">
      <c r="B12" s="60"/>
      <c r="C12" s="672" t="s">
        <v>307</v>
      </c>
      <c r="D12" s="673"/>
      <c r="E12" s="674"/>
      <c r="F12" s="674"/>
      <c r="G12" s="674"/>
      <c r="H12" s="674"/>
      <c r="I12" s="675"/>
      <c r="J12" s="64"/>
      <c r="K12" s="59"/>
    </row>
    <row r="13" spans="2:12" ht="12.75" customHeight="1">
      <c r="B13" s="863"/>
      <c r="C13" s="672" t="s">
        <v>308</v>
      </c>
      <c r="D13" s="676"/>
      <c r="E13" s="676"/>
      <c r="F13" s="676"/>
      <c r="G13" s="851"/>
      <c r="H13" s="851"/>
      <c r="I13" s="675"/>
      <c r="J13" s="66">
        <f>Subcontracts!C3</f>
        <v>0</v>
      </c>
      <c r="K13" s="67">
        <f>IF(J13&gt;0,((EDATE(J13,12))-1),)</f>
        <v>0</v>
      </c>
      <c r="L13" s="68"/>
    </row>
    <row r="14" spans="2:12" ht="3.75" customHeight="1">
      <c r="B14" s="863"/>
      <c r="C14" s="775"/>
      <c r="D14" s="775"/>
      <c r="E14" s="775"/>
      <c r="F14" s="775"/>
      <c r="G14" s="775"/>
      <c r="H14" s="775"/>
      <c r="I14" s="69"/>
      <c r="J14" s="852"/>
      <c r="K14" s="70"/>
      <c r="L14" s="52"/>
    </row>
    <row r="15" spans="2:14" ht="12" customHeight="1">
      <c r="B15" s="59"/>
      <c r="C15" s="733" t="s">
        <v>396</v>
      </c>
      <c r="D15" s="116"/>
      <c r="E15" s="75"/>
      <c r="F15" s="849"/>
      <c r="G15" s="50"/>
      <c r="H15" s="75"/>
      <c r="J15" s="776"/>
      <c r="K15" s="850"/>
      <c r="L15" s="850"/>
      <c r="M15" s="49"/>
      <c r="N15" s="49"/>
    </row>
    <row r="16" spans="2:14" ht="12" customHeight="1">
      <c r="B16" s="74"/>
      <c r="C16" s="733" t="s">
        <v>395</v>
      </c>
      <c r="D16" s="116"/>
      <c r="E16" s="75"/>
      <c r="F16" s="849"/>
      <c r="G16" s="50"/>
      <c r="H16" s="75"/>
      <c r="I16" s="854"/>
      <c r="J16" s="776"/>
      <c r="K16" s="850"/>
      <c r="L16" s="850"/>
      <c r="M16" s="49"/>
      <c r="N16" s="49"/>
    </row>
    <row r="17" spans="2:14" ht="12" customHeight="1">
      <c r="B17" s="71" t="s">
        <v>55</v>
      </c>
      <c r="C17" s="733" t="s">
        <v>397</v>
      </c>
      <c r="D17" s="116"/>
      <c r="E17" s="75"/>
      <c r="F17" s="849"/>
      <c r="G17" s="50"/>
      <c r="H17" s="75"/>
      <c r="I17" s="854"/>
      <c r="J17" s="776"/>
      <c r="K17" s="850"/>
      <c r="L17" s="850"/>
      <c r="M17" s="49"/>
      <c r="N17" s="49"/>
    </row>
    <row r="18" spans="2:57" ht="10.5" customHeight="1">
      <c r="B18" s="861" t="s">
        <v>60</v>
      </c>
      <c r="C18" s="858"/>
      <c r="D18" s="853"/>
      <c r="E18" s="107" t="s">
        <v>61</v>
      </c>
      <c r="F18" s="1036" t="s">
        <v>340</v>
      </c>
      <c r="G18" s="1036" t="s">
        <v>341</v>
      </c>
      <c r="H18" s="1038" t="s">
        <v>400</v>
      </c>
      <c r="I18" s="1034" t="s">
        <v>58</v>
      </c>
      <c r="J18" s="857" t="s">
        <v>62</v>
      </c>
      <c r="K18" s="857" t="s">
        <v>55</v>
      </c>
      <c r="L18" s="858"/>
      <c r="M18" s="49"/>
      <c r="N18" s="49"/>
      <c r="BE18" s="79"/>
    </row>
    <row r="19" spans="2:57" ht="12" customHeight="1">
      <c r="B19" s="861" t="s">
        <v>63</v>
      </c>
      <c r="C19" s="862" t="s">
        <v>64</v>
      </c>
      <c r="D19" s="69"/>
      <c r="E19" s="152" t="s">
        <v>65</v>
      </c>
      <c r="F19" s="1037"/>
      <c r="G19" s="1037"/>
      <c r="H19" s="1039"/>
      <c r="I19" s="1035"/>
      <c r="J19" s="859" t="s">
        <v>66</v>
      </c>
      <c r="K19" s="859" t="s">
        <v>67</v>
      </c>
      <c r="L19" s="80" t="s">
        <v>68</v>
      </c>
      <c r="M19" s="49"/>
      <c r="N19" s="49"/>
      <c r="BE19" s="79"/>
    </row>
    <row r="20" spans="2:57" ht="13.5" customHeight="1">
      <c r="B20" s="85"/>
      <c r="C20" s="1028"/>
      <c r="D20" s="1030"/>
      <c r="E20" s="1050" t="s">
        <v>398</v>
      </c>
      <c r="F20" s="1004"/>
      <c r="G20" s="1004"/>
      <c r="H20" s="1004"/>
      <c r="I20" s="86"/>
      <c r="J20" s="87"/>
      <c r="K20" s="87"/>
      <c r="L20" s="88"/>
      <c r="M20" s="49"/>
      <c r="N20" s="49"/>
      <c r="BE20" s="79"/>
    </row>
    <row r="21" spans="1:57" ht="13.5" customHeight="1">
      <c r="A21" s="118"/>
      <c r="B21" s="89"/>
      <c r="C21" s="1020"/>
      <c r="D21" s="1031"/>
      <c r="E21" s="1051"/>
      <c r="F21" s="1005"/>
      <c r="G21" s="1005"/>
      <c r="H21" s="1005"/>
      <c r="I21" s="90"/>
      <c r="J21" s="91">
        <f>((I21/12)*F20)+((I21/9)*G20)+((I21/3)*H20)</f>
        <v>0</v>
      </c>
      <c r="K21" s="92">
        <f>(B21/100)*J21</f>
        <v>0</v>
      </c>
      <c r="L21" s="93">
        <f>J21+K21</f>
        <v>0</v>
      </c>
      <c r="M21" s="94"/>
      <c r="N21" s="94"/>
      <c r="O21" s="95"/>
      <c r="P21" s="95"/>
      <c r="Q21" s="95"/>
      <c r="BE21" s="95"/>
    </row>
    <row r="22" spans="2:57" ht="13.5" customHeight="1">
      <c r="B22" s="96"/>
      <c r="C22" s="1018"/>
      <c r="D22" s="1030"/>
      <c r="E22" s="1046"/>
      <c r="F22" s="1004"/>
      <c r="G22" s="1004"/>
      <c r="H22" s="1004"/>
      <c r="I22" s="97"/>
      <c r="J22" s="87"/>
      <c r="K22" s="87"/>
      <c r="L22" s="88"/>
      <c r="M22" s="94"/>
      <c r="N22" s="94"/>
      <c r="O22" s="95"/>
      <c r="P22" s="95"/>
      <c r="Q22" s="95"/>
      <c r="BE22" s="95"/>
    </row>
    <row r="23" spans="2:57" ht="13.5" customHeight="1">
      <c r="B23" s="89"/>
      <c r="C23" s="1026"/>
      <c r="D23" s="1027"/>
      <c r="E23" s="1047"/>
      <c r="F23" s="1005"/>
      <c r="G23" s="1005"/>
      <c r="H23" s="1005"/>
      <c r="I23" s="99"/>
      <c r="J23" s="91">
        <f>((I23/12)*F22)+((I23/9)*G22)+((I23/3)*H22)</f>
        <v>0</v>
      </c>
      <c r="K23" s="92">
        <f>(B23/100)*J23</f>
        <v>0</v>
      </c>
      <c r="L23" s="93">
        <f>J23+K23</f>
        <v>0</v>
      </c>
      <c r="M23" s="94"/>
      <c r="N23" s="94"/>
      <c r="O23" s="95"/>
      <c r="P23" s="95"/>
      <c r="Q23" s="95"/>
      <c r="BE23" s="95"/>
    </row>
    <row r="24" spans="2:57" ht="13.5" customHeight="1">
      <c r="B24" s="96"/>
      <c r="C24" s="1022"/>
      <c r="D24" s="1025"/>
      <c r="E24" s="1048"/>
      <c r="F24" s="1004"/>
      <c r="G24" s="1004"/>
      <c r="H24" s="1004"/>
      <c r="I24" s="100"/>
      <c r="J24" s="87"/>
      <c r="K24" s="87"/>
      <c r="L24" s="88"/>
      <c r="M24" s="94"/>
      <c r="N24" s="94"/>
      <c r="O24" s="95"/>
      <c r="P24" s="95"/>
      <c r="Q24" s="95"/>
      <c r="BE24" s="95"/>
    </row>
    <row r="25" spans="2:57" ht="13.5" customHeight="1">
      <c r="B25" s="89"/>
      <c r="C25" s="1026"/>
      <c r="D25" s="1027"/>
      <c r="E25" s="1049"/>
      <c r="F25" s="1005"/>
      <c r="G25" s="1005"/>
      <c r="H25" s="1005"/>
      <c r="I25" s="90"/>
      <c r="J25" s="91">
        <f>((I25/12)*F24)+((I25/9)*G24)+((I25/3)*H24)</f>
        <v>0</v>
      </c>
      <c r="K25" s="92">
        <f>(B25/100)*J25</f>
        <v>0</v>
      </c>
      <c r="L25" s="93">
        <f>J25+K25</f>
        <v>0</v>
      </c>
      <c r="M25" s="94"/>
      <c r="N25" s="94"/>
      <c r="O25" s="95"/>
      <c r="P25" s="95"/>
      <c r="Q25" s="95"/>
      <c r="BE25" s="95"/>
    </row>
    <row r="26" spans="2:57" ht="13.5" customHeight="1">
      <c r="B26" s="96"/>
      <c r="C26" s="1022"/>
      <c r="D26" s="1023"/>
      <c r="E26" s="1048"/>
      <c r="F26" s="1004"/>
      <c r="G26" s="1004"/>
      <c r="H26" s="1004"/>
      <c r="I26" s="97"/>
      <c r="J26" s="87"/>
      <c r="K26" s="87"/>
      <c r="L26" s="88"/>
      <c r="M26" s="94"/>
      <c r="N26" s="94"/>
      <c r="O26" s="95"/>
      <c r="P26" s="95"/>
      <c r="Q26" s="95"/>
      <c r="BE26" s="95"/>
    </row>
    <row r="27" spans="2:57" ht="13.5" customHeight="1">
      <c r="B27" s="89"/>
      <c r="C27" s="1024"/>
      <c r="D27" s="1024"/>
      <c r="E27" s="1047"/>
      <c r="F27" s="1005"/>
      <c r="G27" s="1005"/>
      <c r="H27" s="1005"/>
      <c r="I27" s="90"/>
      <c r="J27" s="91">
        <f>((I27/12)*F26)+((I27/9)*G26)+((I27/3)*H26)</f>
        <v>0</v>
      </c>
      <c r="K27" s="92">
        <f>(B27/100)*J27</f>
        <v>0</v>
      </c>
      <c r="L27" s="93">
        <f>J27+K27</f>
        <v>0</v>
      </c>
      <c r="M27" s="94"/>
      <c r="N27" s="94"/>
      <c r="O27" s="95"/>
      <c r="P27" s="95"/>
      <c r="Q27" s="95"/>
      <c r="BE27" s="95"/>
    </row>
    <row r="28" spans="2:57" ht="13.5" customHeight="1">
      <c r="B28" s="96"/>
      <c r="C28" s="1022"/>
      <c r="D28" s="1025"/>
      <c r="E28" s="1042"/>
      <c r="F28" s="1004"/>
      <c r="G28" s="1004"/>
      <c r="H28" s="1004"/>
      <c r="I28" s="97" t="s">
        <v>69</v>
      </c>
      <c r="J28" s="87"/>
      <c r="K28" s="87"/>
      <c r="L28" s="88"/>
      <c r="M28" s="94"/>
      <c r="N28" s="94"/>
      <c r="O28" s="95"/>
      <c r="P28" s="95"/>
      <c r="Q28" s="95"/>
      <c r="BE28" s="95"/>
    </row>
    <row r="29" spans="2:57" ht="13.5" customHeight="1">
      <c r="B29" s="89"/>
      <c r="C29" s="1026"/>
      <c r="D29" s="1027"/>
      <c r="E29" s="1043"/>
      <c r="F29" s="1005"/>
      <c r="G29" s="1005"/>
      <c r="H29" s="1005"/>
      <c r="I29" s="90"/>
      <c r="J29" s="91">
        <f>((I29/12)*F28)+((I29/9)*G28)+((I29/3)*H28)</f>
        <v>0</v>
      </c>
      <c r="K29" s="92">
        <f>(B29/100)*J29</f>
        <v>0</v>
      </c>
      <c r="L29" s="93">
        <f>J29+K29</f>
        <v>0</v>
      </c>
      <c r="M29" s="94"/>
      <c r="N29" s="94"/>
      <c r="O29" s="95"/>
      <c r="P29" s="95"/>
      <c r="Q29" s="95"/>
      <c r="BE29" s="95"/>
    </row>
    <row r="30" spans="2:57" ht="13.5" customHeight="1">
      <c r="B30" s="96"/>
      <c r="C30" s="1028"/>
      <c r="D30" s="1029"/>
      <c r="E30" s="1044"/>
      <c r="F30" s="1004"/>
      <c r="G30" s="1004"/>
      <c r="H30" s="1004"/>
      <c r="I30" s="97"/>
      <c r="J30" s="87"/>
      <c r="K30" s="87"/>
      <c r="L30" s="88"/>
      <c r="M30" s="94"/>
      <c r="N30" s="94"/>
      <c r="O30" s="95"/>
      <c r="P30" s="95"/>
      <c r="Q30" s="95"/>
      <c r="BE30" s="95"/>
    </row>
    <row r="31" spans="2:57" ht="13.5" customHeight="1">
      <c r="B31" s="89"/>
      <c r="C31" s="1020"/>
      <c r="D31" s="1021"/>
      <c r="E31" s="1041"/>
      <c r="F31" s="1005"/>
      <c r="G31" s="1005"/>
      <c r="H31" s="1005"/>
      <c r="I31" s="99"/>
      <c r="J31" s="91">
        <f>((I31/12)*F30)+((I31/9)*G30)+((I31/3)*H30)</f>
        <v>0</v>
      </c>
      <c r="K31" s="92">
        <f>(B31/100)*J31</f>
        <v>0</v>
      </c>
      <c r="L31" s="93">
        <f>J31+K31</f>
        <v>0</v>
      </c>
      <c r="M31" s="94"/>
      <c r="N31" s="94"/>
      <c r="O31" s="95"/>
      <c r="P31" s="95"/>
      <c r="Q31" s="95"/>
      <c r="BE31" s="95"/>
    </row>
    <row r="32" spans="2:57" ht="13.5" customHeight="1">
      <c r="B32" s="96"/>
      <c r="C32" s="1018"/>
      <c r="D32" s="1019"/>
      <c r="E32" s="1040"/>
      <c r="F32" s="1004"/>
      <c r="G32" s="1004"/>
      <c r="H32" s="1004"/>
      <c r="I32" s="100"/>
      <c r="J32" s="87"/>
      <c r="K32" s="87"/>
      <c r="L32" s="88"/>
      <c r="M32" s="94"/>
      <c r="N32" s="94"/>
      <c r="O32" s="95"/>
      <c r="P32" s="95"/>
      <c r="Q32" s="95"/>
      <c r="BE32" s="95"/>
    </row>
    <row r="33" spans="2:57" ht="13.5" customHeight="1">
      <c r="B33" s="89"/>
      <c r="C33" s="1020"/>
      <c r="D33" s="1021"/>
      <c r="E33" s="1041"/>
      <c r="F33" s="1005"/>
      <c r="G33" s="1005"/>
      <c r="H33" s="1005"/>
      <c r="I33" s="90"/>
      <c r="J33" s="91">
        <f>((I33/12)*F32)+((I33/9)*G32)+((I33/3)*H32)</f>
        <v>0</v>
      </c>
      <c r="K33" s="92">
        <f>(B33/100)*J33</f>
        <v>0</v>
      </c>
      <c r="L33" s="93">
        <f>J33+K33</f>
        <v>0</v>
      </c>
      <c r="M33" s="94"/>
      <c r="N33" s="94"/>
      <c r="O33" s="95"/>
      <c r="P33" s="95"/>
      <c r="Q33" s="95"/>
      <c r="BE33" s="95"/>
    </row>
    <row r="34" spans="2:57" ht="13.5" customHeight="1">
      <c r="B34" s="96"/>
      <c r="C34" s="1018"/>
      <c r="D34" s="1019"/>
      <c r="E34" s="1040"/>
      <c r="F34" s="1004"/>
      <c r="G34" s="1004"/>
      <c r="H34" s="1004"/>
      <c r="I34" s="97"/>
      <c r="J34" s="87"/>
      <c r="K34" s="87"/>
      <c r="L34" s="88"/>
      <c r="M34" s="94"/>
      <c r="N34" s="94"/>
      <c r="O34" s="95"/>
      <c r="P34" s="95"/>
      <c r="Q34" s="95"/>
      <c r="BE34" s="95"/>
    </row>
    <row r="35" spans="2:57" ht="13.5" customHeight="1">
      <c r="B35" s="89"/>
      <c r="C35" s="1020"/>
      <c r="D35" s="1021"/>
      <c r="E35" s="1041"/>
      <c r="F35" s="1005"/>
      <c r="G35" s="1005"/>
      <c r="H35" s="1005"/>
      <c r="I35" s="90"/>
      <c r="J35" s="91">
        <f>((I35/12)*F34)+((I35/9)*G34)+((I35/3)*H34)</f>
        <v>0</v>
      </c>
      <c r="K35" s="92">
        <f>(B35/100)*J35</f>
        <v>0</v>
      </c>
      <c r="L35" s="93">
        <f>J35+K35</f>
        <v>0</v>
      </c>
      <c r="M35" s="94"/>
      <c r="N35" s="94"/>
      <c r="O35" s="95"/>
      <c r="P35" s="95"/>
      <c r="Q35" s="95"/>
      <c r="BE35" s="95"/>
    </row>
    <row r="36" spans="2:57" ht="13.5" customHeight="1">
      <c r="B36" s="96"/>
      <c r="C36" s="1018"/>
      <c r="D36" s="1019"/>
      <c r="E36" s="1040"/>
      <c r="F36" s="1004"/>
      <c r="G36" s="1004"/>
      <c r="H36" s="1004"/>
      <c r="I36" s="97"/>
      <c r="J36" s="87"/>
      <c r="K36" s="87"/>
      <c r="L36" s="88"/>
      <c r="M36" s="94"/>
      <c r="N36" s="94"/>
      <c r="O36" s="95"/>
      <c r="P36" s="95"/>
      <c r="Q36" s="95"/>
      <c r="BE36" s="95"/>
    </row>
    <row r="37" spans="2:57" ht="13.5" customHeight="1">
      <c r="B37" s="89"/>
      <c r="C37" s="1020"/>
      <c r="D37" s="1021"/>
      <c r="E37" s="1041"/>
      <c r="F37" s="1005"/>
      <c r="G37" s="1005"/>
      <c r="H37" s="1005"/>
      <c r="I37" s="90"/>
      <c r="J37" s="91">
        <f>((I37/12)*F36)+((I37/9)*G36)+((I37/3)*H36)</f>
        <v>0</v>
      </c>
      <c r="K37" s="92">
        <f>(B37/100)*J37</f>
        <v>0</v>
      </c>
      <c r="L37" s="93">
        <f>J37+K37</f>
        <v>0</v>
      </c>
      <c r="M37" s="94"/>
      <c r="N37" s="94"/>
      <c r="O37" s="95"/>
      <c r="P37" s="95"/>
      <c r="Q37" s="95"/>
      <c r="BE37" s="95"/>
    </row>
    <row r="38" spans="2:57" ht="13.5" customHeight="1">
      <c r="B38" s="96"/>
      <c r="C38" s="1018"/>
      <c r="D38" s="1019"/>
      <c r="E38" s="1032"/>
      <c r="F38" s="1004"/>
      <c r="G38" s="1004"/>
      <c r="H38" s="1004"/>
      <c r="I38" s="97"/>
      <c r="J38" s="87"/>
      <c r="K38" s="87"/>
      <c r="L38" s="88"/>
      <c r="M38" s="101"/>
      <c r="N38" s="101"/>
      <c r="O38" s="102"/>
      <c r="P38" s="102"/>
      <c r="Q38" s="102"/>
      <c r="R38" s="50"/>
      <c r="S38" s="50"/>
      <c r="T38" s="50"/>
      <c r="U38" s="50"/>
      <c r="V38" s="50"/>
      <c r="W38" s="50"/>
      <c r="X38" s="50"/>
      <c r="Y38" s="50"/>
      <c r="BE38" s="95"/>
    </row>
    <row r="39" spans="2:57" ht="13.5" customHeight="1">
      <c r="B39" s="89"/>
      <c r="C39" s="1020"/>
      <c r="D39" s="1021"/>
      <c r="E39" s="1033"/>
      <c r="F39" s="1005"/>
      <c r="G39" s="1005"/>
      <c r="H39" s="1005"/>
      <c r="I39" s="90"/>
      <c r="J39" s="91">
        <f>((I39/12)*F38)+((I39/9)*G38)+((I39/3)*H38)</f>
        <v>0</v>
      </c>
      <c r="K39" s="92">
        <f>(B39/100)*J39</f>
        <v>0</v>
      </c>
      <c r="L39" s="93">
        <f>J39+K39</f>
        <v>0</v>
      </c>
      <c r="M39" s="94"/>
      <c r="N39" s="94"/>
      <c r="O39" s="95"/>
      <c r="P39" s="95"/>
      <c r="Q39" s="95"/>
      <c r="BE39" s="95"/>
    </row>
    <row r="40" spans="2:57" ht="13.5" customHeight="1">
      <c r="B40" s="96"/>
      <c r="C40" s="1018"/>
      <c r="D40" s="1019"/>
      <c r="E40" s="1040"/>
      <c r="F40" s="1004"/>
      <c r="G40" s="1004"/>
      <c r="H40" s="1004"/>
      <c r="I40" s="97"/>
      <c r="J40" s="87"/>
      <c r="K40" s="87"/>
      <c r="L40" s="88"/>
      <c r="M40" s="101"/>
      <c r="N40" s="101"/>
      <c r="O40" s="102"/>
      <c r="P40" s="102"/>
      <c r="Q40" s="95"/>
      <c r="BE40" s="95"/>
    </row>
    <row r="41" spans="2:57" ht="13.5" customHeight="1">
      <c r="B41" s="89"/>
      <c r="C41" s="1020"/>
      <c r="D41" s="1021"/>
      <c r="E41" s="1041"/>
      <c r="F41" s="1005"/>
      <c r="G41" s="1005"/>
      <c r="H41" s="1005"/>
      <c r="I41" s="90"/>
      <c r="J41" s="91">
        <f>((I41/12)*F40)+((I41/9)*G40)+((I41/3)*H40)</f>
        <v>0</v>
      </c>
      <c r="K41" s="92">
        <f>(B41/100)*J41</f>
        <v>0</v>
      </c>
      <c r="L41" s="93">
        <f>J41+K41</f>
        <v>0</v>
      </c>
      <c r="M41" s="94"/>
      <c r="N41" s="94"/>
      <c r="O41" s="95"/>
      <c r="P41" s="95"/>
      <c r="Q41" s="95"/>
      <c r="BE41" s="95"/>
    </row>
    <row r="42" spans="2:17" ht="13.5" customHeight="1">
      <c r="B42" s="96"/>
      <c r="C42" s="1018"/>
      <c r="D42" s="1019"/>
      <c r="E42" s="1040"/>
      <c r="F42" s="1004"/>
      <c r="G42" s="1004"/>
      <c r="H42" s="1004"/>
      <c r="I42" s="97"/>
      <c r="J42" s="87"/>
      <c r="K42" s="87"/>
      <c r="L42" s="88"/>
      <c r="M42" s="101"/>
      <c r="N42" s="101"/>
      <c r="O42" s="102"/>
      <c r="P42" s="95"/>
      <c r="Q42" s="95"/>
    </row>
    <row r="43" spans="2:17" ht="13.5" customHeight="1">
      <c r="B43" s="89"/>
      <c r="C43" s="1020"/>
      <c r="D43" s="1021"/>
      <c r="E43" s="1045"/>
      <c r="F43" s="1005"/>
      <c r="G43" s="1005"/>
      <c r="H43" s="1005"/>
      <c r="I43" s="99"/>
      <c r="J43" s="91">
        <f>((I43/12)*F42)+((I43/9)*G42)+((I43/3)*H42)</f>
        <v>0</v>
      </c>
      <c r="K43" s="92">
        <f>(B43/100)*J43</f>
        <v>0</v>
      </c>
      <c r="L43" s="93">
        <f>J43+K43</f>
        <v>0</v>
      </c>
      <c r="N43" s="94"/>
      <c r="O43" s="95"/>
      <c r="P43" s="95"/>
      <c r="Q43" s="95"/>
    </row>
    <row r="44" spans="2:39" ht="13.5" customHeight="1">
      <c r="B44" s="96"/>
      <c r="C44" s="1018"/>
      <c r="D44" s="1019"/>
      <c r="E44" s="1044"/>
      <c r="F44" s="1004"/>
      <c r="G44" s="1004"/>
      <c r="H44" s="1004"/>
      <c r="I44" s="97"/>
      <c r="J44" s="87"/>
      <c r="K44" s="87"/>
      <c r="L44" s="88"/>
      <c r="M44" s="50"/>
      <c r="N44" s="101"/>
      <c r="O44" s="102"/>
      <c r="P44" s="102"/>
      <c r="Q44" s="102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:17" ht="13.5" customHeight="1">
      <c r="B45" s="89"/>
      <c r="C45" s="1020"/>
      <c r="D45" s="1021"/>
      <c r="E45" s="1045"/>
      <c r="F45" s="1005"/>
      <c r="G45" s="1005"/>
      <c r="H45" s="1005"/>
      <c r="I45" s="99"/>
      <c r="J45" s="91">
        <f>((I45/12)*F44)+((I45/9)*G44)+((I45/3)*H44)</f>
        <v>0</v>
      </c>
      <c r="K45" s="92">
        <f>(B45/100)*J45</f>
        <v>0</v>
      </c>
      <c r="L45" s="93">
        <f>J45+K45</f>
        <v>0</v>
      </c>
      <c r="N45" s="94"/>
      <c r="O45" s="95"/>
      <c r="P45" s="95"/>
      <c r="Q45" s="95"/>
    </row>
    <row r="46" spans="2:17" ht="13.5" customHeight="1">
      <c r="B46" s="96"/>
      <c r="C46" s="1018"/>
      <c r="D46" s="1019"/>
      <c r="E46" s="1044"/>
      <c r="F46" s="1004"/>
      <c r="G46" s="1004"/>
      <c r="H46" s="1004"/>
      <c r="I46" s="97"/>
      <c r="J46" s="87"/>
      <c r="K46" s="87"/>
      <c r="L46" s="88"/>
      <c r="N46" s="94"/>
      <c r="O46" s="95"/>
      <c r="P46" s="95"/>
      <c r="Q46" s="95"/>
    </row>
    <row r="47" spans="2:17" ht="13.5" customHeight="1">
      <c r="B47" s="89"/>
      <c r="C47" s="1020"/>
      <c r="D47" s="1021"/>
      <c r="E47" s="1045"/>
      <c r="F47" s="1005"/>
      <c r="G47" s="1005"/>
      <c r="H47" s="1005"/>
      <c r="I47" s="99"/>
      <c r="J47" s="91">
        <f>((I47/12)*F46)+((I47/9)*G46)+((I47/3)*H46)</f>
        <v>0</v>
      </c>
      <c r="K47" s="92">
        <f>(B47/100)*J47</f>
        <v>0</v>
      </c>
      <c r="L47" s="93">
        <f>J47+K47</f>
        <v>0</v>
      </c>
      <c r="N47" s="94"/>
      <c r="O47" s="95"/>
      <c r="P47" s="95"/>
      <c r="Q47" s="95"/>
    </row>
    <row r="48" spans="2:17" ht="13.5" customHeight="1">
      <c r="B48" s="96"/>
      <c r="C48" s="1018"/>
      <c r="D48" s="1019"/>
      <c r="E48" s="1044"/>
      <c r="F48" s="1004"/>
      <c r="G48" s="1004"/>
      <c r="H48" s="1004"/>
      <c r="I48" s="97"/>
      <c r="J48" s="87"/>
      <c r="K48" s="87"/>
      <c r="L48" s="88"/>
      <c r="M48" s="95"/>
      <c r="N48" s="95"/>
      <c r="O48" s="95"/>
      <c r="P48" s="95"/>
      <c r="Q48" s="95"/>
    </row>
    <row r="49" spans="2:17" ht="13.5" customHeight="1" thickBot="1">
      <c r="B49" s="89"/>
      <c r="C49" s="1020"/>
      <c r="D49" s="1021"/>
      <c r="E49" s="1045"/>
      <c r="F49" s="1005"/>
      <c r="G49" s="1005"/>
      <c r="H49" s="1005"/>
      <c r="I49" s="90"/>
      <c r="J49" s="91">
        <f>((I49/12)*F48)+((I49/9)*G48)+((I49/3)*H48)</f>
        <v>0</v>
      </c>
      <c r="K49" s="92">
        <f>(B49/100)*J49</f>
        <v>0</v>
      </c>
      <c r="L49" s="93">
        <f>J49+K49</f>
        <v>0</v>
      </c>
      <c r="M49" s="95"/>
      <c r="N49" s="95"/>
      <c r="O49" s="95"/>
      <c r="P49" s="95"/>
      <c r="Q49" s="95"/>
    </row>
    <row r="50" spans="2:12" ht="21" customHeight="1" thickBot="1">
      <c r="B50" s="103"/>
      <c r="C50" s="75"/>
      <c r="D50" s="75"/>
      <c r="E50" s="627" t="s">
        <v>70</v>
      </c>
      <c r="F50" s="49"/>
      <c r="G50" s="104"/>
      <c r="H50" s="104"/>
      <c r="I50" s="75"/>
      <c r="J50" s="105">
        <f>SUM(J21:J49)</f>
        <v>0</v>
      </c>
      <c r="K50" s="105">
        <f>SUM(K21:K49)</f>
        <v>0</v>
      </c>
      <c r="L50" s="106">
        <f>SUM(L21:L49)</f>
        <v>0</v>
      </c>
    </row>
    <row r="51" spans="2:12" ht="12" customHeight="1">
      <c r="B51" s="103"/>
      <c r="C51" s="107" t="s">
        <v>71</v>
      </c>
      <c r="D51" s="55"/>
      <c r="E51" s="108"/>
      <c r="F51" s="109"/>
      <c r="G51" s="109"/>
      <c r="H51" s="109"/>
      <c r="I51" s="109"/>
      <c r="J51" s="75"/>
      <c r="K51" s="75"/>
      <c r="L51" s="110"/>
    </row>
    <row r="52" spans="2:12" ht="12.75" customHeight="1">
      <c r="B52" s="103"/>
      <c r="C52" s="1006"/>
      <c r="D52" s="1010"/>
      <c r="E52" s="111"/>
      <c r="F52" s="1015"/>
      <c r="G52" s="1010"/>
      <c r="H52" s="1010"/>
      <c r="I52" s="1010"/>
      <c r="J52" s="1010"/>
      <c r="K52" s="51"/>
      <c r="L52" s="112"/>
    </row>
    <row r="53" spans="2:12" ht="12.75" customHeight="1">
      <c r="B53" s="103"/>
      <c r="C53" s="1008"/>
      <c r="D53" s="1009"/>
      <c r="E53" s="113"/>
      <c r="F53" s="1016"/>
      <c r="G53" s="1009"/>
      <c r="H53" s="1009"/>
      <c r="I53" s="1009"/>
      <c r="J53" s="1009"/>
      <c r="K53" s="114"/>
      <c r="L53" s="115">
        <f>E52+E53+K52+K53</f>
        <v>0</v>
      </c>
    </row>
    <row r="54" spans="2:26" ht="12" customHeight="1">
      <c r="B54" s="103"/>
      <c r="C54" s="116" t="s">
        <v>148</v>
      </c>
      <c r="D54" s="117"/>
      <c r="E54" s="118"/>
      <c r="F54" s="119"/>
      <c r="G54" s="119"/>
      <c r="H54" s="119"/>
      <c r="I54" s="119"/>
      <c r="J54" s="119"/>
      <c r="K54" s="119"/>
      <c r="L54" s="11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</row>
    <row r="55" spans="2:26" ht="15" customHeight="1">
      <c r="B55" s="103"/>
      <c r="C55" s="1015"/>
      <c r="D55" s="1010"/>
      <c r="E55" s="111"/>
      <c r="F55" s="1017"/>
      <c r="G55" s="1007"/>
      <c r="H55" s="1007"/>
      <c r="I55" s="1007"/>
      <c r="J55" s="1007"/>
      <c r="K55" s="111"/>
      <c r="L55" s="121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</row>
    <row r="56" spans="2:26" ht="13.5" customHeight="1">
      <c r="B56" s="103"/>
      <c r="C56" s="1015"/>
      <c r="D56" s="1010"/>
      <c r="E56" s="111"/>
      <c r="F56" s="1017"/>
      <c r="G56" s="1007"/>
      <c r="H56" s="1007"/>
      <c r="I56" s="1007"/>
      <c r="J56" s="1007"/>
      <c r="K56" s="111"/>
      <c r="L56" s="112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</row>
    <row r="57" spans="2:26" ht="15" customHeight="1">
      <c r="B57" s="103"/>
      <c r="C57" s="1013"/>
      <c r="D57" s="1014"/>
      <c r="E57" s="113"/>
      <c r="F57" s="1013"/>
      <c r="G57" s="1014"/>
      <c r="H57" s="1014"/>
      <c r="I57" s="1014"/>
      <c r="J57" s="1014"/>
      <c r="K57" s="113"/>
      <c r="L57" s="115">
        <f>E55+E56+E57+K55+K56+K57</f>
        <v>0</v>
      </c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</row>
    <row r="58" spans="2:12" ht="12" customHeight="1">
      <c r="B58" s="103"/>
      <c r="C58" s="116" t="s">
        <v>149</v>
      </c>
      <c r="D58" s="65"/>
      <c r="E58" s="43"/>
      <c r="F58" s="118"/>
      <c r="G58" s="43"/>
      <c r="H58" s="43"/>
      <c r="I58" s="43"/>
      <c r="J58" s="43"/>
      <c r="K58" s="43"/>
      <c r="L58" s="110"/>
    </row>
    <row r="59" spans="2:17" ht="15" customHeight="1">
      <c r="B59" s="103"/>
      <c r="C59" s="1006"/>
      <c r="D59" s="1010"/>
      <c r="E59" s="111"/>
      <c r="F59" s="1006"/>
      <c r="G59" s="1007"/>
      <c r="H59" s="1007"/>
      <c r="I59" s="1007"/>
      <c r="J59" s="1007"/>
      <c r="K59" s="111"/>
      <c r="L59" s="112"/>
      <c r="M59" s="49"/>
      <c r="N59" s="49"/>
      <c r="O59" s="49"/>
      <c r="P59" s="49"/>
      <c r="Q59" s="49"/>
    </row>
    <row r="60" spans="2:12" ht="15" customHeight="1">
      <c r="B60" s="103"/>
      <c r="C60" s="1006"/>
      <c r="D60" s="1010"/>
      <c r="E60" s="111"/>
      <c r="F60" s="1006"/>
      <c r="G60" s="1007"/>
      <c r="H60" s="1007"/>
      <c r="I60" s="1007"/>
      <c r="J60" s="1007"/>
      <c r="K60" s="111"/>
      <c r="L60" s="112"/>
    </row>
    <row r="61" spans="2:12" ht="15.75" customHeight="1">
      <c r="B61" s="103"/>
      <c r="C61" s="1006"/>
      <c r="D61" s="1010"/>
      <c r="E61" s="111"/>
      <c r="F61" s="1006"/>
      <c r="G61" s="1007"/>
      <c r="H61" s="1007"/>
      <c r="I61" s="1007"/>
      <c r="J61" s="1007"/>
      <c r="K61" s="111"/>
      <c r="L61" s="121"/>
    </row>
    <row r="62" spans="2:12" ht="15" customHeight="1">
      <c r="B62" s="103"/>
      <c r="C62" s="1006"/>
      <c r="D62" s="1010"/>
      <c r="E62" s="111"/>
      <c r="F62" s="1006"/>
      <c r="G62" s="1007"/>
      <c r="H62" s="1007"/>
      <c r="I62" s="1007"/>
      <c r="J62" s="1007"/>
      <c r="K62" s="111"/>
      <c r="L62" s="112"/>
    </row>
    <row r="63" spans="2:12" ht="15" customHeight="1">
      <c r="B63" s="103"/>
      <c r="C63" s="1006"/>
      <c r="D63" s="1010"/>
      <c r="E63" s="111"/>
      <c r="F63" s="1006"/>
      <c r="G63" s="1007"/>
      <c r="H63" s="1007"/>
      <c r="I63" s="1007"/>
      <c r="J63" s="1007"/>
      <c r="K63" s="111"/>
      <c r="L63" s="112"/>
    </row>
    <row r="64" spans="2:12" ht="15" customHeight="1">
      <c r="B64" s="103"/>
      <c r="C64" s="1008"/>
      <c r="D64" s="1009"/>
      <c r="E64" s="113"/>
      <c r="F64" s="1008"/>
      <c r="G64" s="1009"/>
      <c r="H64" s="1009"/>
      <c r="I64" s="1009"/>
      <c r="J64" s="1009"/>
      <c r="K64" s="113"/>
      <c r="L64" s="115">
        <f>SUM(E59:E64)+SUM(K59:K64)</f>
        <v>0</v>
      </c>
    </row>
    <row r="65" spans="2:12" ht="12" customHeight="1">
      <c r="B65" s="103"/>
      <c r="C65" s="116" t="s">
        <v>72</v>
      </c>
      <c r="D65" s="65"/>
      <c r="E65" s="43"/>
      <c r="F65" s="118"/>
      <c r="G65" s="43"/>
      <c r="H65" s="43"/>
      <c r="I65" s="43"/>
      <c r="J65" s="43"/>
      <c r="K65" s="43"/>
      <c r="L65" s="110"/>
    </row>
    <row r="66" spans="2:12" ht="13.5" customHeight="1">
      <c r="B66" s="103"/>
      <c r="C66" s="1011"/>
      <c r="D66" s="1012"/>
      <c r="E66" s="113"/>
      <c r="F66" s="122"/>
      <c r="G66" s="122"/>
      <c r="H66" s="122"/>
      <c r="I66" s="122"/>
      <c r="J66" s="123"/>
      <c r="K66" s="123"/>
      <c r="L66" s="115">
        <f>E66</f>
        <v>0</v>
      </c>
    </row>
    <row r="67" spans="2:12" ht="15.75" customHeight="1">
      <c r="B67" s="124"/>
      <c r="C67" s="884" t="s">
        <v>404</v>
      </c>
      <c r="D67" s="883"/>
      <c r="E67" s="880"/>
      <c r="F67" s="113"/>
      <c r="G67" s="125"/>
      <c r="H67" s="125"/>
      <c r="I67" s="125"/>
      <c r="J67" s="126"/>
      <c r="K67" s="126"/>
      <c r="L67" s="127"/>
    </row>
    <row r="68" spans="2:12" ht="15.75" customHeight="1">
      <c r="B68" s="124"/>
      <c r="C68" s="54" t="s">
        <v>405</v>
      </c>
      <c r="D68" s="883"/>
      <c r="E68" s="881"/>
      <c r="F68" s="129"/>
      <c r="G68" s="125"/>
      <c r="H68" s="125"/>
      <c r="I68" s="125"/>
      <c r="J68" s="126"/>
      <c r="K68" s="126"/>
      <c r="L68" s="127"/>
    </row>
    <row r="69" spans="2:12" ht="12" customHeight="1">
      <c r="B69" s="124"/>
      <c r="C69" s="116" t="s">
        <v>150</v>
      </c>
      <c r="D69" s="65"/>
      <c r="E69" s="43"/>
      <c r="F69" s="130"/>
      <c r="G69" s="131"/>
      <c r="H69" s="131"/>
      <c r="I69" s="131"/>
      <c r="J69" s="43"/>
      <c r="K69" s="43"/>
      <c r="L69" s="110"/>
    </row>
    <row r="70" spans="2:12" ht="12.75" customHeight="1">
      <c r="B70" s="124"/>
      <c r="C70" s="129"/>
      <c r="D70" s="132"/>
      <c r="E70" s="129"/>
      <c r="F70" s="122"/>
      <c r="G70" s="122"/>
      <c r="H70" s="122"/>
      <c r="I70" s="122"/>
      <c r="J70" s="123"/>
      <c r="K70" s="123"/>
      <c r="L70" s="115">
        <f>+E70</f>
        <v>0</v>
      </c>
    </row>
    <row r="71" spans="2:12" ht="20.25" customHeight="1">
      <c r="B71" s="124"/>
      <c r="C71" s="285" t="s">
        <v>151</v>
      </c>
      <c r="D71" s="65"/>
      <c r="E71" s="43"/>
      <c r="F71" s="118"/>
      <c r="G71" s="43"/>
      <c r="H71" s="43"/>
      <c r="I71" s="131"/>
      <c r="J71" s="43"/>
      <c r="K71" s="43"/>
      <c r="L71" s="110"/>
    </row>
    <row r="72" spans="2:12" ht="12" customHeight="1">
      <c r="B72" s="124"/>
      <c r="C72" s="1006">
        <f>IF(D78&gt;0,"Tuition",)</f>
        <v>0</v>
      </c>
      <c r="D72" s="1010"/>
      <c r="E72" s="111">
        <f>IF(D78&gt;0,D78,)</f>
        <v>0</v>
      </c>
      <c r="F72" s="1006"/>
      <c r="G72" s="1007"/>
      <c r="H72" s="1007"/>
      <c r="I72" s="1007"/>
      <c r="J72" s="1007"/>
      <c r="K72" s="111"/>
      <c r="L72" s="112"/>
    </row>
    <row r="73" spans="2:12" ht="12" customHeight="1">
      <c r="B73" s="124"/>
      <c r="C73" s="1006"/>
      <c r="D73" s="1053"/>
      <c r="E73" s="111"/>
      <c r="F73" s="1006"/>
      <c r="G73" s="1007"/>
      <c r="H73" s="1007"/>
      <c r="I73" s="1007"/>
      <c r="J73" s="1007"/>
      <c r="K73" s="111"/>
      <c r="L73" s="112"/>
    </row>
    <row r="74" spans="2:12" ht="12" customHeight="1">
      <c r="B74" s="124"/>
      <c r="C74" s="1006"/>
      <c r="D74" s="1053"/>
      <c r="E74" s="111"/>
      <c r="F74" s="1006"/>
      <c r="G74" s="1007"/>
      <c r="H74" s="1007"/>
      <c r="I74" s="1007"/>
      <c r="J74" s="1007"/>
      <c r="K74" s="111"/>
      <c r="L74" s="112"/>
    </row>
    <row r="75" spans="2:12" ht="12" customHeight="1">
      <c r="B75" s="124"/>
      <c r="C75" s="1006"/>
      <c r="D75" s="1053"/>
      <c r="E75" s="111"/>
      <c r="F75" s="1006"/>
      <c r="G75" s="1007"/>
      <c r="H75" s="1007"/>
      <c r="I75" s="1007"/>
      <c r="J75" s="1007"/>
      <c r="K75" s="111"/>
      <c r="L75" s="112"/>
    </row>
    <row r="76" spans="2:12" ht="12" customHeight="1">
      <c r="B76" s="124"/>
      <c r="C76" s="1006"/>
      <c r="D76" s="1053"/>
      <c r="E76" s="111"/>
      <c r="F76" s="1006"/>
      <c r="G76" s="1007"/>
      <c r="H76" s="1007"/>
      <c r="I76" s="1007"/>
      <c r="J76" s="1007"/>
      <c r="K76" s="111"/>
      <c r="L76" s="112"/>
    </row>
    <row r="77" spans="2:12" ht="12.75" customHeight="1">
      <c r="B77" s="124"/>
      <c r="C77" s="1008"/>
      <c r="D77" s="1052"/>
      <c r="E77" s="111"/>
      <c r="F77" s="1008"/>
      <c r="G77" s="1009"/>
      <c r="H77" s="1009"/>
      <c r="I77" s="1009"/>
      <c r="J77" s="1009"/>
      <c r="K77" s="111"/>
      <c r="L77" s="133">
        <f>SUM(E72:E77)+SUM(K72:K77)</f>
        <v>0</v>
      </c>
    </row>
    <row r="78" spans="1:12" ht="12.75" customHeight="1">
      <c r="A78" s="95"/>
      <c r="B78" s="134"/>
      <c r="C78" s="135" t="s">
        <v>10</v>
      </c>
      <c r="D78" s="136">
        <f>Subcontracts!G30+Subcontracts!G45</f>
        <v>0</v>
      </c>
      <c r="E78" s="137"/>
      <c r="F78" s="621"/>
      <c r="G78" s="622"/>
      <c r="H78" s="622"/>
      <c r="I78" s="622"/>
      <c r="J78" s="623"/>
      <c r="K78" s="624"/>
      <c r="L78" s="625">
        <f>D78+J78</f>
        <v>0</v>
      </c>
    </row>
    <row r="79" spans="1:12" ht="14.25" customHeight="1" thickBot="1">
      <c r="A79" s="95"/>
      <c r="B79" s="143"/>
      <c r="C79" s="116" t="s">
        <v>291</v>
      </c>
      <c r="D79" s="183"/>
      <c r="E79" s="629"/>
      <c r="F79" s="150"/>
      <c r="G79" s="630"/>
      <c r="H79" s="183"/>
      <c r="I79" s="150"/>
      <c r="J79" s="150"/>
      <c r="K79" s="639" t="s">
        <v>73</v>
      </c>
      <c r="L79" s="677">
        <f>+Subcontracts!C60</f>
        <v>0</v>
      </c>
    </row>
    <row r="80" spans="1:19" ht="24" customHeight="1" thickBot="1">
      <c r="A80" s="95"/>
      <c r="B80" s="143"/>
      <c r="C80" s="144" t="s">
        <v>293</v>
      </c>
      <c r="D80" s="145"/>
      <c r="E80" s="183"/>
      <c r="F80" s="146"/>
      <c r="G80" s="145"/>
      <c r="H80" s="145"/>
      <c r="I80" s="145"/>
      <c r="J80" s="145"/>
      <c r="K80" s="147"/>
      <c r="L80" s="148">
        <f>+L50+L53+L57+L64+L66+L67+L68+L70+L77+L79</f>
        <v>0</v>
      </c>
      <c r="M80" s="986">
        <f>IF(L80&gt;=500000,"&lt;---","")</f>
      </c>
      <c r="N80" s="985">
        <f>IF(L80&gt;=500000,"OVER $500,000--CHECK IF ALLOWED BY FOA OR IF PO APPROVAL OBTAINED","")</f>
      </c>
      <c r="O80" s="49"/>
      <c r="P80" s="49"/>
      <c r="Q80" s="49"/>
      <c r="R80" s="49"/>
      <c r="S80" s="49"/>
    </row>
    <row r="81" spans="1:12" ht="14.25" customHeight="1" thickBot="1">
      <c r="A81" s="95"/>
      <c r="B81" s="143"/>
      <c r="C81" s="116" t="s">
        <v>291</v>
      </c>
      <c r="D81" s="154"/>
      <c r="E81" s="633"/>
      <c r="F81" s="154"/>
      <c r="G81" s="632"/>
      <c r="H81" s="154"/>
      <c r="I81" s="154"/>
      <c r="J81" s="154"/>
      <c r="K81" s="626" t="s">
        <v>74</v>
      </c>
      <c r="L81" s="156">
        <f>+Subcontracts!C61</f>
        <v>0</v>
      </c>
    </row>
    <row r="82" spans="1:12" ht="24" customHeight="1" thickBot="1">
      <c r="A82" s="95"/>
      <c r="B82" s="143"/>
      <c r="C82" s="157" t="s">
        <v>292</v>
      </c>
      <c r="D82" s="158"/>
      <c r="E82" s="631"/>
      <c r="F82" s="160"/>
      <c r="G82" s="161"/>
      <c r="H82" s="161"/>
      <c r="I82" s="159"/>
      <c r="J82" s="159"/>
      <c r="K82" s="162"/>
      <c r="L82" s="163">
        <f>+L80+L81</f>
        <v>0</v>
      </c>
    </row>
    <row r="83" spans="1:12" ht="15" customHeight="1">
      <c r="A83" s="95"/>
      <c r="B83" s="143"/>
      <c r="C83" s="165" t="s">
        <v>399</v>
      </c>
      <c r="D83" s="166"/>
      <c r="E83" s="166"/>
      <c r="F83" s="166" t="s">
        <v>75</v>
      </c>
      <c r="G83" s="166"/>
      <c r="H83" s="166"/>
      <c r="I83" s="166"/>
      <c r="J83" s="166"/>
      <c r="K83" s="167"/>
      <c r="L83" s="168" t="s">
        <v>76</v>
      </c>
    </row>
    <row r="84" spans="1:12" ht="12" customHeight="1">
      <c r="A84" s="95"/>
      <c r="B84" s="143"/>
      <c r="C84" s="169"/>
      <c r="D84" s="170"/>
      <c r="E84" s="171"/>
      <c r="F84" s="170"/>
      <c r="G84" s="171"/>
      <c r="H84" s="171"/>
      <c r="I84" s="171"/>
      <c r="J84" s="171"/>
      <c r="K84" s="171"/>
      <c r="L84" s="171"/>
    </row>
    <row r="85" spans="1:12" ht="10.5">
      <c r="A85" s="95"/>
      <c r="B85" s="143"/>
      <c r="C85" s="170"/>
      <c r="D85" s="170"/>
      <c r="E85" s="171"/>
      <c r="F85" s="170"/>
      <c r="G85" s="171"/>
      <c r="H85" s="171"/>
      <c r="I85" s="171"/>
      <c r="J85" s="170"/>
      <c r="K85" s="171"/>
      <c r="L85" s="170"/>
    </row>
    <row r="86" spans="2:12" ht="0.75" customHeight="1">
      <c r="B86" s="172"/>
      <c r="C86" s="95"/>
      <c r="D86" s="95"/>
      <c r="E86" s="94"/>
      <c r="F86" s="95"/>
      <c r="G86" s="94"/>
      <c r="H86" s="94"/>
      <c r="I86" s="94"/>
      <c r="J86" s="95"/>
      <c r="K86" s="94"/>
      <c r="L86" s="95"/>
    </row>
    <row r="87" spans="2:12" ht="10.5">
      <c r="B87" s="172"/>
      <c r="L87" s="49"/>
    </row>
    <row r="88" spans="2:12" ht="10.5">
      <c r="B88" s="172"/>
      <c r="L88" s="94"/>
    </row>
    <row r="89" ht="8.25">
      <c r="B89" s="172"/>
    </row>
    <row r="90" spans="2:12" ht="10.5">
      <c r="B90" s="172"/>
      <c r="L90" s="94"/>
    </row>
    <row r="91" spans="2:11" ht="10.5">
      <c r="B91" s="172"/>
      <c r="E91" s="49"/>
      <c r="G91" s="49"/>
      <c r="H91" s="49"/>
      <c r="I91" s="49"/>
      <c r="K91" s="49"/>
    </row>
    <row r="92" spans="2:12" ht="10.5">
      <c r="B92" s="172"/>
      <c r="E92" s="49"/>
      <c r="G92" s="49"/>
      <c r="H92" s="49"/>
      <c r="I92" s="49"/>
      <c r="L92" s="94"/>
    </row>
    <row r="93" spans="2:11" ht="10.5">
      <c r="B93" s="172"/>
      <c r="C93" s="49"/>
      <c r="D93" s="49"/>
      <c r="E93" s="49"/>
      <c r="G93" s="49"/>
      <c r="H93" s="49"/>
      <c r="I93" s="49"/>
      <c r="K93" s="49"/>
    </row>
    <row r="94" spans="2:12" ht="10.5">
      <c r="B94" s="172"/>
      <c r="C94" s="49"/>
      <c r="D94" s="49"/>
      <c r="E94" s="49"/>
      <c r="F94" s="49"/>
      <c r="G94" s="49"/>
      <c r="H94" s="49"/>
      <c r="I94" s="49"/>
      <c r="J94" s="49"/>
      <c r="L94" s="49"/>
    </row>
    <row r="95" spans="2:12" ht="10.5">
      <c r="B95" s="172"/>
      <c r="C95" s="49"/>
      <c r="D95" s="49"/>
      <c r="E95" s="49"/>
      <c r="F95" s="49"/>
      <c r="G95" s="49"/>
      <c r="H95" s="49"/>
      <c r="I95" s="49"/>
      <c r="J95" s="49"/>
      <c r="K95" s="49"/>
      <c r="L95" s="49"/>
    </row>
    <row r="96" spans="2:12" ht="10.5">
      <c r="B96" s="172"/>
      <c r="C96" s="49"/>
      <c r="D96" s="49"/>
      <c r="E96" s="49"/>
      <c r="F96" s="49"/>
      <c r="G96" s="49"/>
      <c r="H96" s="49"/>
      <c r="I96" s="49"/>
      <c r="J96" s="49"/>
      <c r="K96" s="49"/>
      <c r="L96" s="49"/>
    </row>
    <row r="97" spans="2:12" ht="10.5">
      <c r="B97" s="172"/>
      <c r="C97" s="49"/>
      <c r="D97" s="49"/>
      <c r="E97" s="49"/>
      <c r="F97" s="49"/>
      <c r="G97" s="49"/>
      <c r="H97" s="49"/>
      <c r="I97" s="49"/>
      <c r="J97" s="49"/>
      <c r="K97" s="49"/>
      <c r="L97" s="49"/>
    </row>
    <row r="98" spans="2:12" ht="9" customHeight="1">
      <c r="B98" s="172"/>
      <c r="C98" s="49"/>
      <c r="D98" s="49"/>
      <c r="E98" s="49"/>
      <c r="F98" s="49"/>
      <c r="G98" s="49"/>
      <c r="H98" s="49"/>
      <c r="I98" s="49"/>
      <c r="J98" s="49"/>
      <c r="K98" s="49"/>
      <c r="L98" s="49"/>
    </row>
    <row r="99" spans="2:12" ht="10.5">
      <c r="B99" s="172"/>
      <c r="C99" s="49"/>
      <c r="D99" s="49"/>
      <c r="E99" s="49"/>
      <c r="F99" s="49"/>
      <c r="G99" s="49"/>
      <c r="H99" s="49"/>
      <c r="I99" s="49"/>
      <c r="J99" s="49"/>
      <c r="K99" s="49"/>
      <c r="L99" s="49"/>
    </row>
    <row r="100" spans="2:12" ht="16.5" customHeight="1">
      <c r="B100" s="172"/>
      <c r="C100" s="49"/>
      <c r="D100" s="49"/>
      <c r="E100" s="49"/>
      <c r="F100" s="49"/>
      <c r="G100" s="49"/>
      <c r="H100" s="49"/>
      <c r="I100" s="49"/>
      <c r="J100" s="49"/>
      <c r="K100" s="49"/>
      <c r="L100" s="49"/>
    </row>
    <row r="101" spans="2:12" ht="16.5" customHeight="1">
      <c r="B101" s="172"/>
      <c r="C101" s="49"/>
      <c r="D101" s="49"/>
      <c r="E101" s="49"/>
      <c r="F101" s="49"/>
      <c r="G101" s="49"/>
      <c r="H101" s="49"/>
      <c r="I101" s="49"/>
      <c r="J101" s="49"/>
      <c r="K101" s="49"/>
      <c r="L101" s="49"/>
    </row>
    <row r="102" spans="2:12" ht="10.5" customHeight="1">
      <c r="B102" s="172"/>
      <c r="C102" s="49"/>
      <c r="D102" s="49"/>
      <c r="E102" s="49"/>
      <c r="F102" s="49"/>
      <c r="G102" s="49"/>
      <c r="H102" s="49"/>
      <c r="I102" s="49"/>
      <c r="J102" s="49"/>
      <c r="K102" s="49"/>
      <c r="L102" s="49"/>
    </row>
    <row r="103" spans="2:12" ht="10.5" customHeight="1">
      <c r="B103" s="172"/>
      <c r="C103" s="49"/>
      <c r="D103" s="49"/>
      <c r="E103" s="49"/>
      <c r="F103" s="49"/>
      <c r="G103" s="49"/>
      <c r="H103" s="49"/>
      <c r="I103" s="49"/>
      <c r="J103" s="49"/>
      <c r="K103" s="49"/>
      <c r="L103" s="49"/>
    </row>
    <row r="104" spans="2:12" ht="10.5" customHeight="1">
      <c r="B104" s="172"/>
      <c r="C104" s="49"/>
      <c r="D104" s="49"/>
      <c r="E104" s="49"/>
      <c r="F104" s="49"/>
      <c r="G104" s="49"/>
      <c r="H104" s="49"/>
      <c r="I104" s="49"/>
      <c r="J104" s="49"/>
      <c r="K104" s="49"/>
      <c r="L104" s="49"/>
    </row>
    <row r="105" spans="2:12" ht="10.5" customHeight="1">
      <c r="B105" s="172"/>
      <c r="C105" s="49"/>
      <c r="D105" s="49"/>
      <c r="E105" s="49"/>
      <c r="F105" s="49"/>
      <c r="G105" s="49"/>
      <c r="H105" s="49"/>
      <c r="I105" s="49"/>
      <c r="J105" s="49"/>
      <c r="K105" s="49"/>
      <c r="L105" s="49"/>
    </row>
    <row r="106" spans="2:12" ht="10.5" customHeight="1">
      <c r="B106" s="172"/>
      <c r="C106" s="49"/>
      <c r="D106" s="49"/>
      <c r="E106" s="49"/>
      <c r="F106" s="49"/>
      <c r="G106" s="49"/>
      <c r="H106" s="49"/>
      <c r="I106" s="49"/>
      <c r="J106" s="49"/>
      <c r="K106" s="49"/>
      <c r="L106" s="49"/>
    </row>
    <row r="107" spans="2:12" ht="10.5" customHeight="1">
      <c r="B107" s="172"/>
      <c r="C107" s="49"/>
      <c r="D107" s="49"/>
      <c r="E107" s="49"/>
      <c r="F107" s="49"/>
      <c r="G107" s="49"/>
      <c r="H107" s="49"/>
      <c r="I107" s="49"/>
      <c r="J107" s="49"/>
      <c r="K107" s="49"/>
      <c r="L107" s="49"/>
    </row>
    <row r="108" spans="2:12" ht="22.5" customHeight="1">
      <c r="B108" s="172"/>
      <c r="C108" s="49"/>
      <c r="D108" s="49"/>
      <c r="E108" s="49"/>
      <c r="F108" s="49"/>
      <c r="G108" s="49"/>
      <c r="H108" s="49"/>
      <c r="I108" s="49"/>
      <c r="J108" s="49"/>
      <c r="K108" s="49"/>
      <c r="L108" s="49"/>
    </row>
    <row r="109" spans="2:12" ht="22.5" customHeight="1">
      <c r="B109" s="172"/>
      <c r="C109" s="49"/>
      <c r="D109" s="49"/>
      <c r="E109" s="49"/>
      <c r="F109" s="49"/>
      <c r="G109" s="49"/>
      <c r="H109" s="49"/>
      <c r="I109" s="49"/>
      <c r="J109" s="49"/>
      <c r="K109" s="49"/>
      <c r="L109" s="49"/>
    </row>
    <row r="110" spans="2:12" ht="22.5" customHeight="1">
      <c r="B110" s="172"/>
      <c r="C110" s="49"/>
      <c r="D110" s="49"/>
      <c r="E110" s="49"/>
      <c r="F110" s="49"/>
      <c r="G110" s="49"/>
      <c r="H110" s="49"/>
      <c r="I110" s="49"/>
      <c r="J110" s="49"/>
      <c r="K110" s="49"/>
      <c r="L110" s="49"/>
    </row>
    <row r="111" spans="2:12" ht="22.5" customHeight="1">
      <c r="B111" s="172"/>
      <c r="C111" s="49"/>
      <c r="D111" s="49"/>
      <c r="E111" s="49"/>
      <c r="F111" s="49"/>
      <c r="G111" s="49"/>
      <c r="H111" s="49"/>
      <c r="I111" s="49"/>
      <c r="J111" s="49"/>
      <c r="K111" s="49"/>
      <c r="L111" s="49"/>
    </row>
    <row r="112" spans="2:12" ht="22.5" customHeight="1">
      <c r="B112" s="172"/>
      <c r="C112" s="49"/>
      <c r="D112" s="49"/>
      <c r="E112" s="49"/>
      <c r="F112" s="49"/>
      <c r="G112" s="49"/>
      <c r="H112" s="49"/>
      <c r="I112" s="49"/>
      <c r="J112" s="49"/>
      <c r="K112" s="49"/>
      <c r="L112" s="49"/>
    </row>
    <row r="113" spans="3:12" ht="22.5" customHeight="1">
      <c r="C113" s="49"/>
      <c r="D113" s="49"/>
      <c r="E113" s="49"/>
      <c r="F113" s="49"/>
      <c r="G113" s="49"/>
      <c r="H113" s="49"/>
      <c r="I113" s="49"/>
      <c r="J113" s="49"/>
      <c r="K113" s="49"/>
      <c r="L113" s="49"/>
    </row>
    <row r="114" spans="3:12" ht="12.75" customHeight="1">
      <c r="C114" s="49"/>
      <c r="D114" s="49"/>
      <c r="E114" s="49"/>
      <c r="F114" s="49"/>
      <c r="G114" s="49"/>
      <c r="H114" s="49"/>
      <c r="I114" s="49"/>
      <c r="J114" s="49"/>
      <c r="K114" s="49"/>
      <c r="L114" s="49"/>
    </row>
    <row r="115" spans="3:12" ht="10.5" customHeight="1">
      <c r="C115" s="49"/>
      <c r="D115" s="49"/>
      <c r="E115" s="49"/>
      <c r="F115" s="49"/>
      <c r="G115" s="49"/>
      <c r="H115" s="49"/>
      <c r="I115" s="49"/>
      <c r="J115" s="49"/>
      <c r="K115" s="49"/>
      <c r="L115" s="49"/>
    </row>
    <row r="116" spans="3:12" ht="22.5" customHeight="1">
      <c r="C116" s="49"/>
      <c r="D116" s="49"/>
      <c r="E116" s="49"/>
      <c r="F116" s="49"/>
      <c r="G116" s="49"/>
      <c r="H116" s="49"/>
      <c r="I116" s="49"/>
      <c r="J116" s="49"/>
      <c r="K116" s="49"/>
      <c r="L116" s="49"/>
    </row>
    <row r="117" spans="3:12" ht="22.5" customHeight="1">
      <c r="C117" s="49"/>
      <c r="D117" s="49"/>
      <c r="E117" s="49"/>
      <c r="F117" s="49"/>
      <c r="G117" s="49"/>
      <c r="H117" s="49"/>
      <c r="I117" s="49"/>
      <c r="J117" s="49"/>
      <c r="K117" s="49"/>
      <c r="L117" s="49"/>
    </row>
    <row r="118" spans="3:12" ht="12.75" customHeight="1">
      <c r="C118" s="49"/>
      <c r="D118" s="49"/>
      <c r="E118" s="49"/>
      <c r="F118" s="49"/>
      <c r="G118" s="49"/>
      <c r="H118" s="49"/>
      <c r="I118" s="49"/>
      <c r="J118" s="49"/>
      <c r="K118" s="49"/>
      <c r="L118" s="49"/>
    </row>
    <row r="119" spans="3:12" ht="10.5" customHeight="1">
      <c r="C119" s="49"/>
      <c r="D119" s="49"/>
      <c r="E119" s="49"/>
      <c r="F119" s="49"/>
      <c r="G119" s="49"/>
      <c r="H119" s="49"/>
      <c r="I119" s="49"/>
      <c r="J119" s="49"/>
      <c r="K119" s="49"/>
      <c r="L119" s="49"/>
    </row>
    <row r="120" spans="3:12" ht="27" customHeight="1">
      <c r="C120" s="49"/>
      <c r="D120" s="49"/>
      <c r="E120" s="49"/>
      <c r="F120" s="49"/>
      <c r="G120" s="49"/>
      <c r="H120" s="49"/>
      <c r="I120" s="49"/>
      <c r="J120" s="49"/>
      <c r="K120" s="49"/>
      <c r="L120" s="49"/>
    </row>
    <row r="121" spans="3:12" ht="9" customHeight="1">
      <c r="C121" s="49"/>
      <c r="D121" s="49"/>
      <c r="E121" s="49"/>
      <c r="F121" s="49"/>
      <c r="G121" s="49"/>
      <c r="H121" s="49"/>
      <c r="I121" s="49"/>
      <c r="J121" s="49"/>
      <c r="K121" s="49"/>
      <c r="L121" s="49"/>
    </row>
    <row r="122" spans="3:12" ht="0.75" customHeight="1">
      <c r="C122" s="49"/>
      <c r="D122" s="49"/>
      <c r="E122" s="49"/>
      <c r="F122" s="49"/>
      <c r="G122" s="49"/>
      <c r="H122" s="49"/>
      <c r="I122" s="49"/>
      <c r="J122" s="49"/>
      <c r="K122" s="49"/>
      <c r="L122" s="49"/>
    </row>
    <row r="123" spans="3:12" ht="21.75" customHeight="1"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3:12" ht="12" customHeight="1">
      <c r="C124" s="49"/>
      <c r="D124" s="49"/>
      <c r="E124" s="49"/>
      <c r="F124" s="49"/>
      <c r="G124" s="49"/>
      <c r="H124" s="49"/>
      <c r="I124" s="49"/>
      <c r="J124" s="49"/>
      <c r="K124" s="49"/>
      <c r="L124" s="49"/>
    </row>
    <row r="125" spans="3:12" ht="0.75" customHeight="1"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3:12" ht="12.75" customHeight="1">
      <c r="C126" s="49"/>
      <c r="D126" s="49"/>
      <c r="E126" s="49"/>
      <c r="F126" s="49"/>
      <c r="G126" s="49"/>
      <c r="H126" s="49"/>
      <c r="I126" s="49"/>
      <c r="J126" s="49"/>
      <c r="K126" s="49"/>
      <c r="L126" s="49"/>
    </row>
    <row r="127" spans="3:12" ht="10.5" customHeight="1">
      <c r="C127" s="49"/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3:12" ht="10.5">
      <c r="C128" s="49"/>
      <c r="D128" s="49"/>
      <c r="E128" s="49"/>
      <c r="F128" s="49"/>
      <c r="G128" s="49"/>
      <c r="H128" s="49"/>
      <c r="I128" s="49"/>
      <c r="J128" s="49"/>
      <c r="K128" s="49"/>
      <c r="L128" s="49"/>
    </row>
    <row r="129" spans="3:11" ht="10.5" customHeight="1">
      <c r="C129" s="49"/>
      <c r="D129" s="49"/>
      <c r="E129" s="49"/>
      <c r="F129" s="49"/>
      <c r="G129" s="49"/>
      <c r="H129" s="49"/>
      <c r="I129" s="49"/>
      <c r="J129" s="49"/>
      <c r="K129" s="49"/>
    </row>
    <row r="130" ht="10.5" customHeight="1"/>
    <row r="132" ht="10.5" customHeight="1"/>
    <row r="133" ht="10.5" customHeight="1"/>
    <row r="135" ht="10.5" customHeight="1"/>
    <row r="136" ht="10.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</sheetData>
  <sheetProtection sheet="1"/>
  <mergeCells count="114">
    <mergeCell ref="C77:D77"/>
    <mergeCell ref="C73:D73"/>
    <mergeCell ref="C74:D74"/>
    <mergeCell ref="C75:D75"/>
    <mergeCell ref="C76:D76"/>
    <mergeCell ref="E48:E49"/>
    <mergeCell ref="C57:D57"/>
    <mergeCell ref="C62:D62"/>
    <mergeCell ref="C72:D72"/>
    <mergeCell ref="C52:D52"/>
    <mergeCell ref="E46:E47"/>
    <mergeCell ref="E44:E45"/>
    <mergeCell ref="E42:E43"/>
    <mergeCell ref="E22:E23"/>
    <mergeCell ref="E24:E25"/>
    <mergeCell ref="E20:E21"/>
    <mergeCell ref="E26:E27"/>
    <mergeCell ref="F26:F27"/>
    <mergeCell ref="F28:F29"/>
    <mergeCell ref="F30:F31"/>
    <mergeCell ref="E40:E41"/>
    <mergeCell ref="E28:E29"/>
    <mergeCell ref="E30:E31"/>
    <mergeCell ref="E32:E33"/>
    <mergeCell ref="E34:E35"/>
    <mergeCell ref="E36:E37"/>
    <mergeCell ref="F20:F21"/>
    <mergeCell ref="F18:F19"/>
    <mergeCell ref="G18:G19"/>
    <mergeCell ref="H18:H19"/>
    <mergeCell ref="G20:G21"/>
    <mergeCell ref="H20:H21"/>
    <mergeCell ref="I18:I19"/>
    <mergeCell ref="F46:F47"/>
    <mergeCell ref="F32:F33"/>
    <mergeCell ref="F34:F35"/>
    <mergeCell ref="F36:F37"/>
    <mergeCell ref="F38:F39"/>
    <mergeCell ref="G22:G23"/>
    <mergeCell ref="G24:G25"/>
    <mergeCell ref="G26:G27"/>
    <mergeCell ref="G28:G29"/>
    <mergeCell ref="F48:F49"/>
    <mergeCell ref="C20:D21"/>
    <mergeCell ref="C22:D23"/>
    <mergeCell ref="C24:D25"/>
    <mergeCell ref="F40:F41"/>
    <mergeCell ref="F42:F43"/>
    <mergeCell ref="F44:F45"/>
    <mergeCell ref="E38:E39"/>
    <mergeCell ref="F22:F23"/>
    <mergeCell ref="F24:F25"/>
    <mergeCell ref="C26:D27"/>
    <mergeCell ref="C28:D29"/>
    <mergeCell ref="C30:D31"/>
    <mergeCell ref="C32:D33"/>
    <mergeCell ref="C34:D35"/>
    <mergeCell ref="C36:D37"/>
    <mergeCell ref="C38:D39"/>
    <mergeCell ref="C40:D41"/>
    <mergeCell ref="C42:D43"/>
    <mergeCell ref="C44:D45"/>
    <mergeCell ref="C46:D47"/>
    <mergeCell ref="C48:D49"/>
    <mergeCell ref="F52:J52"/>
    <mergeCell ref="C53:D53"/>
    <mergeCell ref="F53:J53"/>
    <mergeCell ref="C55:D55"/>
    <mergeCell ref="F55:J55"/>
    <mergeCell ref="C56:D56"/>
    <mergeCell ref="F56:J56"/>
    <mergeCell ref="F57:J57"/>
    <mergeCell ref="C59:D59"/>
    <mergeCell ref="F59:J59"/>
    <mergeCell ref="C60:D60"/>
    <mergeCell ref="F60:J60"/>
    <mergeCell ref="C61:D61"/>
    <mergeCell ref="F61:J61"/>
    <mergeCell ref="F62:J62"/>
    <mergeCell ref="C63:D63"/>
    <mergeCell ref="F63:J63"/>
    <mergeCell ref="C64:D64"/>
    <mergeCell ref="F64:J64"/>
    <mergeCell ref="C66:D66"/>
    <mergeCell ref="F72:J72"/>
    <mergeCell ref="F77:J77"/>
    <mergeCell ref="F73:J73"/>
    <mergeCell ref="F74:J74"/>
    <mergeCell ref="F75:J75"/>
    <mergeCell ref="F76:J76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H22:H23"/>
    <mergeCell ref="H24:H25"/>
    <mergeCell ref="H26:H27"/>
    <mergeCell ref="H28:H29"/>
    <mergeCell ref="H30:H31"/>
    <mergeCell ref="H32:H33"/>
    <mergeCell ref="H34:H35"/>
    <mergeCell ref="H44:H45"/>
    <mergeCell ref="H46:H47"/>
    <mergeCell ref="H48:H49"/>
    <mergeCell ref="H36:H37"/>
    <mergeCell ref="H38:H39"/>
    <mergeCell ref="H40:H41"/>
    <mergeCell ref="H42:H43"/>
  </mergeCells>
  <printOptions horizontalCentered="1"/>
  <pageMargins left="0.3" right="0.26" top="0.2" bottom="0" header="0.5" footer="0.5"/>
  <pageSetup fitToHeight="1" fitToWidth="1" horizontalDpi="1200" verticalDpi="1200" orientation="portrait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E129"/>
  <sheetViews>
    <sheetView showGridLines="0" showZeros="0" zoomScalePageLayoutView="0" workbookViewId="0" topLeftCell="A1">
      <selection activeCell="E20" sqref="E20:E21"/>
    </sheetView>
  </sheetViews>
  <sheetFormatPr defaultColWidth="7.140625" defaultRowHeight="12.75"/>
  <cols>
    <col min="1" max="1" width="6.421875" style="45" customWidth="1"/>
    <col min="2" max="2" width="10.7109375" style="45" customWidth="1"/>
    <col min="3" max="3" width="24.140625" style="45" customWidth="1"/>
    <col min="4" max="5" width="14.00390625" style="45" customWidth="1"/>
    <col min="6" max="6" width="7.57421875" style="45" customWidth="1"/>
    <col min="7" max="7" width="7.7109375" style="45" customWidth="1"/>
    <col min="8" max="8" width="7.57421875" style="45" customWidth="1"/>
    <col min="9" max="9" width="10.421875" style="45" customWidth="1"/>
    <col min="10" max="11" width="12.00390625" style="45" customWidth="1"/>
    <col min="12" max="12" width="12.421875" style="45" customWidth="1"/>
    <col min="13" max="27" width="7.140625" style="45" customWidth="1"/>
    <col min="28" max="28" width="15.8515625" style="45" customWidth="1"/>
    <col min="29" max="29" width="7.140625" style="45" customWidth="1"/>
    <col min="30" max="30" width="9.28125" style="45" customWidth="1"/>
    <col min="31" max="34" width="7.421875" style="45" bestFit="1" customWidth="1"/>
    <col min="35" max="35" width="7.140625" style="45" customWidth="1"/>
    <col min="36" max="36" width="8.8515625" style="45" bestFit="1" customWidth="1"/>
    <col min="37" max="41" width="7.421875" style="45" bestFit="1" customWidth="1"/>
    <col min="42" max="16384" width="7.140625" style="45" customWidth="1"/>
  </cols>
  <sheetData>
    <row r="1" spans="1:66" ht="15" customHeight="1">
      <c r="A1" s="43"/>
      <c r="B1" s="44" t="s">
        <v>49</v>
      </c>
      <c r="C1" s="44"/>
      <c r="D1" s="605">
        <f>IF(AND(Subcontracts!$Z$50=1),AE30,IF(AND(Subcontracts!$Z$50=2),AE42,IF(AND(Subcontracts!$Z$50=3),AE53,IF(AND(Subcontracts!$Z$50=4),AE65,0))))</f>
        <v>0</v>
      </c>
      <c r="U1" s="598"/>
      <c r="V1" s="598"/>
      <c r="W1" s="598"/>
      <c r="X1" s="598"/>
      <c r="Y1" s="598"/>
      <c r="Z1" s="598"/>
      <c r="AA1" s="831"/>
      <c r="AB1" s="905" t="s">
        <v>256</v>
      </c>
      <c r="AC1" s="906">
        <v>39630</v>
      </c>
      <c r="AD1" s="906">
        <v>39995</v>
      </c>
      <c r="AE1" s="906">
        <v>40360</v>
      </c>
      <c r="AF1" s="906">
        <v>40725</v>
      </c>
      <c r="AG1" s="906">
        <v>41091</v>
      </c>
      <c r="AH1" s="906">
        <v>41456</v>
      </c>
      <c r="AI1" s="906">
        <v>41821</v>
      </c>
      <c r="AJ1" s="906">
        <v>42186</v>
      </c>
      <c r="AK1" s="906">
        <v>42552</v>
      </c>
      <c r="AL1" s="906">
        <v>42917</v>
      </c>
      <c r="AM1" s="906">
        <v>43282</v>
      </c>
      <c r="AN1" s="906">
        <v>43647</v>
      </c>
      <c r="AO1" s="906">
        <v>44013</v>
      </c>
      <c r="AP1" s="906">
        <v>44378</v>
      </c>
      <c r="AQ1" s="906">
        <v>44743</v>
      </c>
      <c r="AR1" s="906">
        <v>45108</v>
      </c>
      <c r="AS1" s="906">
        <v>45474</v>
      </c>
      <c r="AT1" s="906">
        <v>45839</v>
      </c>
      <c r="AU1" s="906">
        <v>46204</v>
      </c>
      <c r="AV1" s="906">
        <v>46569</v>
      </c>
      <c r="AW1" s="906">
        <v>46935</v>
      </c>
      <c r="AX1" s="906">
        <v>47300</v>
      </c>
      <c r="AY1" s="906">
        <v>47665</v>
      </c>
      <c r="AZ1" s="906">
        <v>48030</v>
      </c>
      <c r="BA1" s="831"/>
      <c r="BB1" s="828"/>
      <c r="BC1" s="828"/>
      <c r="BD1" s="828"/>
      <c r="BE1" s="828"/>
      <c r="BF1" s="828"/>
      <c r="BG1" s="828"/>
      <c r="BH1" s="828"/>
      <c r="BI1" s="828"/>
      <c r="BJ1" s="828"/>
      <c r="BK1" s="828"/>
      <c r="BL1" s="828"/>
      <c r="BM1" s="828"/>
      <c r="BN1" s="828"/>
    </row>
    <row r="2" spans="1:66" ht="15" customHeight="1">
      <c r="A2" s="43"/>
      <c r="B2" s="43" t="s">
        <v>77</v>
      </c>
      <c r="C2" s="43"/>
      <c r="D2" s="576">
        <f>Subcontracts!C9</f>
        <v>0</v>
      </c>
      <c r="U2" s="598"/>
      <c r="V2" s="598"/>
      <c r="W2" s="598"/>
      <c r="X2" s="598"/>
      <c r="Y2" s="598"/>
      <c r="Z2" s="598"/>
      <c r="AA2" s="831"/>
      <c r="AB2" s="905" t="s">
        <v>258</v>
      </c>
      <c r="AC2" s="907">
        <v>37.5</v>
      </c>
      <c r="AD2" s="907">
        <v>37.5</v>
      </c>
      <c r="AE2" s="907">
        <v>39</v>
      </c>
      <c r="AF2" s="907">
        <v>41.5</v>
      </c>
      <c r="AG2" s="907">
        <v>43</v>
      </c>
      <c r="AH2" s="907">
        <v>41</v>
      </c>
      <c r="AI2" s="907">
        <v>42.5</v>
      </c>
      <c r="AJ2" s="907">
        <v>44</v>
      </c>
      <c r="AK2" s="907">
        <v>45.5</v>
      </c>
      <c r="AL2" s="907">
        <v>46.5</v>
      </c>
      <c r="AM2" s="907">
        <v>47.5</v>
      </c>
      <c r="AN2" s="907">
        <v>49</v>
      </c>
      <c r="AO2" s="907">
        <v>49</v>
      </c>
      <c r="AP2" s="907">
        <v>49</v>
      </c>
      <c r="AQ2" s="907">
        <v>49</v>
      </c>
      <c r="AR2" s="907">
        <v>49</v>
      </c>
      <c r="AS2" s="907">
        <v>49</v>
      </c>
      <c r="AT2" s="907">
        <v>49</v>
      </c>
      <c r="AU2" s="907">
        <v>49</v>
      </c>
      <c r="AV2" s="907">
        <v>49</v>
      </c>
      <c r="AW2" s="907">
        <v>49</v>
      </c>
      <c r="AX2" s="907">
        <v>49</v>
      </c>
      <c r="AY2" s="907">
        <v>49</v>
      </c>
      <c r="AZ2" s="907">
        <v>49</v>
      </c>
      <c r="BA2" s="831"/>
      <c r="BB2" s="828"/>
      <c r="BC2" s="828"/>
      <c r="BD2" s="828"/>
      <c r="BE2" s="828"/>
      <c r="BF2" s="828"/>
      <c r="BG2" s="828"/>
      <c r="BH2" s="828"/>
      <c r="BI2" s="828"/>
      <c r="BJ2" s="828"/>
      <c r="BK2" s="828"/>
      <c r="BL2" s="828"/>
      <c r="BM2" s="828"/>
      <c r="BN2" s="828"/>
    </row>
    <row r="3" spans="1:66" ht="15" customHeight="1">
      <c r="A3" s="43"/>
      <c r="B3" s="43"/>
      <c r="C3" s="43"/>
      <c r="D3" s="43"/>
      <c r="U3" s="598"/>
      <c r="V3" s="598"/>
      <c r="W3" s="598"/>
      <c r="X3" s="598"/>
      <c r="Y3" s="598"/>
      <c r="Z3" s="598"/>
      <c r="AA3" s="831"/>
      <c r="AB3" s="905" t="s">
        <v>259</v>
      </c>
      <c r="AC3" s="907">
        <v>16</v>
      </c>
      <c r="AD3" s="907">
        <v>16</v>
      </c>
      <c r="AE3" s="907">
        <v>17</v>
      </c>
      <c r="AF3" s="907">
        <v>17</v>
      </c>
      <c r="AG3" s="907">
        <v>17</v>
      </c>
      <c r="AH3" s="907">
        <v>17</v>
      </c>
      <c r="AI3" s="907">
        <v>15</v>
      </c>
      <c r="AJ3" s="907">
        <v>15</v>
      </c>
      <c r="AK3" s="907">
        <v>14</v>
      </c>
      <c r="AL3" s="907">
        <v>14</v>
      </c>
      <c r="AM3" s="907">
        <v>15</v>
      </c>
      <c r="AN3" s="907">
        <v>15</v>
      </c>
      <c r="AO3" s="907">
        <v>15</v>
      </c>
      <c r="AP3" s="907">
        <v>15</v>
      </c>
      <c r="AQ3" s="907">
        <v>15</v>
      </c>
      <c r="AR3" s="907">
        <v>15</v>
      </c>
      <c r="AS3" s="907">
        <v>15</v>
      </c>
      <c r="AT3" s="907">
        <v>15</v>
      </c>
      <c r="AU3" s="907">
        <v>15</v>
      </c>
      <c r="AV3" s="907">
        <v>15</v>
      </c>
      <c r="AW3" s="907">
        <v>15</v>
      </c>
      <c r="AX3" s="907">
        <v>15</v>
      </c>
      <c r="AY3" s="907">
        <v>15</v>
      </c>
      <c r="AZ3" s="907">
        <v>15</v>
      </c>
      <c r="BA3" s="831"/>
      <c r="BB3" s="828"/>
      <c r="BC3" s="828"/>
      <c r="BD3" s="828"/>
      <c r="BE3" s="828"/>
      <c r="BF3" s="828"/>
      <c r="BG3" s="828"/>
      <c r="BH3" s="828"/>
      <c r="BI3" s="828"/>
      <c r="BJ3" s="828"/>
      <c r="BK3" s="828"/>
      <c r="BL3" s="828"/>
      <c r="BM3" s="828"/>
      <c r="BN3" s="828"/>
    </row>
    <row r="4" spans="1:66" ht="15" customHeight="1">
      <c r="A4" s="43"/>
      <c r="B4" s="43"/>
      <c r="C4" s="43"/>
      <c r="D4" s="43"/>
      <c r="U4" s="598"/>
      <c r="V4" s="598"/>
      <c r="W4" s="598"/>
      <c r="X4" s="598"/>
      <c r="Y4" s="598"/>
      <c r="Z4" s="598"/>
      <c r="AA4" s="831"/>
      <c r="AB4" s="905" t="s">
        <v>260</v>
      </c>
      <c r="AC4" s="907">
        <v>12.5</v>
      </c>
      <c r="AD4" s="907">
        <v>13.5</v>
      </c>
      <c r="AE4" s="907">
        <v>13</v>
      </c>
      <c r="AF4" s="907">
        <v>13</v>
      </c>
      <c r="AG4" s="907">
        <v>14.5</v>
      </c>
      <c r="AH4" s="907">
        <v>15</v>
      </c>
      <c r="AI4" s="907">
        <v>14</v>
      </c>
      <c r="AJ4" s="907">
        <v>16</v>
      </c>
      <c r="AK4" s="907">
        <v>14</v>
      </c>
      <c r="AL4" s="907">
        <v>15</v>
      </c>
      <c r="AM4" s="907">
        <v>16</v>
      </c>
      <c r="AN4" s="907">
        <v>17</v>
      </c>
      <c r="AO4" s="907">
        <v>17</v>
      </c>
      <c r="AP4" s="907">
        <v>17</v>
      </c>
      <c r="AQ4" s="907">
        <v>17</v>
      </c>
      <c r="AR4" s="907">
        <v>17</v>
      </c>
      <c r="AS4" s="907">
        <v>17</v>
      </c>
      <c r="AT4" s="907">
        <v>17</v>
      </c>
      <c r="AU4" s="907">
        <v>17</v>
      </c>
      <c r="AV4" s="907">
        <v>17</v>
      </c>
      <c r="AW4" s="907">
        <v>17</v>
      </c>
      <c r="AX4" s="907">
        <v>17</v>
      </c>
      <c r="AY4" s="907">
        <v>17</v>
      </c>
      <c r="AZ4" s="907">
        <v>17</v>
      </c>
      <c r="BA4" s="831"/>
      <c r="BB4" s="828"/>
      <c r="BC4" s="828"/>
      <c r="BD4" s="828"/>
      <c r="BE4" s="828"/>
      <c r="BF4" s="828"/>
      <c r="BG4" s="828"/>
      <c r="BH4" s="828"/>
      <c r="BI4" s="828"/>
      <c r="BJ4" s="828"/>
      <c r="BK4" s="828"/>
      <c r="BL4" s="828"/>
      <c r="BM4" s="828"/>
      <c r="BN4" s="828"/>
    </row>
    <row r="5" spans="1:66" ht="15" customHeight="1">
      <c r="A5" s="43"/>
      <c r="B5" s="43"/>
      <c r="C5" s="43"/>
      <c r="D5" s="43"/>
      <c r="E5" s="118"/>
      <c r="U5" s="598"/>
      <c r="V5" s="598"/>
      <c r="W5" s="598"/>
      <c r="X5" s="598"/>
      <c r="Y5" s="598"/>
      <c r="Z5" s="598"/>
      <c r="AA5" s="831"/>
      <c r="AB5" s="905" t="s">
        <v>261</v>
      </c>
      <c r="AC5" s="907">
        <v>5</v>
      </c>
      <c r="AD5" s="907">
        <v>5</v>
      </c>
      <c r="AE5" s="907">
        <v>5</v>
      </c>
      <c r="AF5" s="907">
        <v>5</v>
      </c>
      <c r="AG5" s="907">
        <v>5</v>
      </c>
      <c r="AH5" s="907">
        <v>5</v>
      </c>
      <c r="AI5" s="907">
        <v>5</v>
      </c>
      <c r="AJ5" s="907">
        <v>5</v>
      </c>
      <c r="AK5" s="907">
        <v>5</v>
      </c>
      <c r="AL5" s="907">
        <v>5</v>
      </c>
      <c r="AM5" s="907">
        <v>5</v>
      </c>
      <c r="AN5" s="907">
        <v>5</v>
      </c>
      <c r="AO5" s="907">
        <v>5</v>
      </c>
      <c r="AP5" s="907">
        <v>5</v>
      </c>
      <c r="AQ5" s="907">
        <v>5</v>
      </c>
      <c r="AR5" s="907">
        <v>5</v>
      </c>
      <c r="AS5" s="907">
        <v>5</v>
      </c>
      <c r="AT5" s="907">
        <v>5</v>
      </c>
      <c r="AU5" s="907">
        <v>5</v>
      </c>
      <c r="AV5" s="907">
        <v>5</v>
      </c>
      <c r="AW5" s="907">
        <v>5</v>
      </c>
      <c r="AX5" s="907">
        <v>5</v>
      </c>
      <c r="AY5" s="907">
        <v>5</v>
      </c>
      <c r="AZ5" s="907">
        <v>5</v>
      </c>
      <c r="BA5" s="831"/>
      <c r="BB5" s="828"/>
      <c r="BC5" s="828"/>
      <c r="BD5" s="828"/>
      <c r="BE5" s="828"/>
      <c r="BF5" s="828"/>
      <c r="BG5" s="828"/>
      <c r="BH5" s="828"/>
      <c r="BI5" s="828"/>
      <c r="BJ5" s="828"/>
      <c r="BK5" s="828"/>
      <c r="BL5" s="828"/>
      <c r="BM5" s="828"/>
      <c r="BN5" s="828"/>
    </row>
    <row r="6" spans="1:66" ht="15" customHeight="1">
      <c r="A6" s="43"/>
      <c r="B6" s="43"/>
      <c r="C6" s="829"/>
      <c r="D6" s="43"/>
      <c r="J6" s="118"/>
      <c r="U6" s="598"/>
      <c r="V6" s="598"/>
      <c r="W6" s="598"/>
      <c r="X6" s="598"/>
      <c r="Y6" s="598"/>
      <c r="Z6" s="598"/>
      <c r="AA6" s="831"/>
      <c r="AB6" s="905" t="s">
        <v>257</v>
      </c>
      <c r="AC6" s="907">
        <v>42.67</v>
      </c>
      <c r="AD6" s="907">
        <v>41.49</v>
      </c>
      <c r="AE6" s="907">
        <v>44.09</v>
      </c>
      <c r="AF6" s="907">
        <v>43.27</v>
      </c>
      <c r="AG6" s="907">
        <v>50.16</v>
      </c>
      <c r="AH6" s="907">
        <v>58.75</v>
      </c>
      <c r="AI6" s="907">
        <v>53.48</v>
      </c>
      <c r="AJ6" s="907">
        <v>53.58</v>
      </c>
      <c r="AK6" s="907">
        <v>54.61</v>
      </c>
      <c r="AL6" s="907">
        <v>57.75</v>
      </c>
      <c r="AM6" s="907">
        <v>59.38</v>
      </c>
      <c r="AN6" s="907">
        <v>61.645</v>
      </c>
      <c r="AO6" s="907">
        <v>64.05</v>
      </c>
      <c r="AP6" s="907">
        <v>64.05</v>
      </c>
      <c r="AQ6" s="907">
        <v>64.05</v>
      </c>
      <c r="AR6" s="907">
        <v>64.05</v>
      </c>
      <c r="AS6" s="907">
        <v>64.05</v>
      </c>
      <c r="AT6" s="907">
        <v>60.41</v>
      </c>
      <c r="AU6" s="907">
        <v>60.41</v>
      </c>
      <c r="AV6" s="907">
        <v>60.41</v>
      </c>
      <c r="AW6" s="907">
        <v>60.41</v>
      </c>
      <c r="AX6" s="907">
        <v>60.41</v>
      </c>
      <c r="AY6" s="907">
        <v>60.41</v>
      </c>
      <c r="AZ6" s="907">
        <v>60.41</v>
      </c>
      <c r="BA6" s="831"/>
      <c r="BB6" s="828"/>
      <c r="BC6" s="828"/>
      <c r="BD6" s="828"/>
      <c r="BE6" s="828"/>
      <c r="BF6" s="828"/>
      <c r="BG6" s="828"/>
      <c r="BH6" s="828"/>
      <c r="BI6" s="828"/>
      <c r="BJ6" s="828"/>
      <c r="BK6" s="828"/>
      <c r="BL6" s="828"/>
      <c r="BM6" s="828"/>
      <c r="BN6" s="828"/>
    </row>
    <row r="7" spans="1:66" ht="6" customHeight="1">
      <c r="A7" s="43"/>
      <c r="B7" s="43"/>
      <c r="C7" s="46"/>
      <c r="D7" s="43"/>
      <c r="U7" s="598"/>
      <c r="V7" s="598"/>
      <c r="W7" s="598"/>
      <c r="X7" s="598"/>
      <c r="Y7" s="598"/>
      <c r="Z7" s="598"/>
      <c r="AA7" s="831"/>
      <c r="AB7" s="905"/>
      <c r="AC7" s="907"/>
      <c r="AD7" s="907"/>
      <c r="AE7" s="907"/>
      <c r="AF7" s="907"/>
      <c r="AG7" s="907"/>
      <c r="AH7" s="907"/>
      <c r="AI7" s="907"/>
      <c r="AJ7" s="907"/>
      <c r="AK7" s="907"/>
      <c r="AL7" s="907"/>
      <c r="AM7" s="907"/>
      <c r="AN7" s="907"/>
      <c r="AO7" s="907"/>
      <c r="AP7" s="907"/>
      <c r="AQ7" s="907"/>
      <c r="AR7" s="907"/>
      <c r="AS7" s="907"/>
      <c r="AT7" s="904"/>
      <c r="AU7" s="831"/>
      <c r="AV7" s="831"/>
      <c r="AW7" s="831"/>
      <c r="AX7" s="831"/>
      <c r="AY7" s="831"/>
      <c r="AZ7" s="831"/>
      <c r="BA7" s="831"/>
      <c r="BB7" s="828"/>
      <c r="BC7" s="828"/>
      <c r="BD7" s="828"/>
      <c r="BE7" s="828"/>
      <c r="BF7" s="828"/>
      <c r="BG7" s="828"/>
      <c r="BH7" s="828"/>
      <c r="BI7" s="828"/>
      <c r="BJ7" s="828"/>
      <c r="BK7" s="828"/>
      <c r="BL7" s="828"/>
      <c r="BM7" s="828"/>
      <c r="BN7" s="828"/>
    </row>
    <row r="8" spans="3:161" ht="17.25" customHeight="1">
      <c r="C8" s="47"/>
      <c r="E8" s="586" t="s">
        <v>363</v>
      </c>
      <c r="F8" s="679">
        <f>IF(Subcontracts!$F$5&gt;=2,+FacePage!$B$14,)</f>
        <v>0</v>
      </c>
      <c r="G8" s="50"/>
      <c r="H8" s="50"/>
      <c r="K8" s="50"/>
      <c r="L8" s="50"/>
      <c r="U8" s="598"/>
      <c r="V8" s="598"/>
      <c r="W8" s="598"/>
      <c r="X8" s="598"/>
      <c r="Y8" s="828"/>
      <c r="Z8" s="828"/>
      <c r="AA8" s="831"/>
      <c r="AB8" s="905" t="s">
        <v>262</v>
      </c>
      <c r="AC8" s="907">
        <v>58.5</v>
      </c>
      <c r="AD8" s="907">
        <v>58.5</v>
      </c>
      <c r="AE8" s="907">
        <v>58.5</v>
      </c>
      <c r="AF8" s="907">
        <v>58.5</v>
      </c>
      <c r="AG8" s="907">
        <v>58.5</v>
      </c>
      <c r="AH8" s="907">
        <v>59</v>
      </c>
      <c r="AI8" s="907">
        <v>59</v>
      </c>
      <c r="AJ8" s="907">
        <v>59.5</v>
      </c>
      <c r="AK8" s="907">
        <v>59.5</v>
      </c>
      <c r="AL8" s="907">
        <v>59.5</v>
      </c>
      <c r="AM8" s="907">
        <v>59.5</v>
      </c>
      <c r="AN8" s="907">
        <v>59.5</v>
      </c>
      <c r="AO8" s="907">
        <v>59.5</v>
      </c>
      <c r="AP8" s="907">
        <v>59.5</v>
      </c>
      <c r="AQ8" s="907">
        <v>59.5</v>
      </c>
      <c r="AR8" s="907">
        <v>59.5</v>
      </c>
      <c r="AS8" s="907">
        <v>59.5</v>
      </c>
      <c r="AT8" s="907">
        <v>59.5</v>
      </c>
      <c r="AU8" s="907">
        <v>59.5</v>
      </c>
      <c r="AV8" s="907">
        <v>59.5</v>
      </c>
      <c r="AW8" s="907">
        <v>59.5</v>
      </c>
      <c r="AX8" s="907">
        <v>59.5</v>
      </c>
      <c r="AY8" s="907">
        <v>59.5</v>
      </c>
      <c r="AZ8" s="907">
        <v>59.5</v>
      </c>
      <c r="BA8" s="903"/>
      <c r="BB8" s="960"/>
      <c r="BC8" s="960"/>
      <c r="BD8" s="960"/>
      <c r="BE8" s="960"/>
      <c r="BF8" s="960"/>
      <c r="BG8" s="960"/>
      <c r="BH8" s="960"/>
      <c r="BI8" s="960"/>
      <c r="BJ8" s="960"/>
      <c r="BK8" s="960"/>
      <c r="BL8" s="960"/>
      <c r="BM8" s="960"/>
      <c r="BN8" s="960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</row>
    <row r="9" spans="2:66" ht="6.75" customHeight="1">
      <c r="B9" s="53"/>
      <c r="C9" s="54"/>
      <c r="D9" s="52"/>
      <c r="E9" s="52"/>
      <c r="F9" s="52"/>
      <c r="G9" s="52"/>
      <c r="H9" s="775"/>
      <c r="I9" s="50"/>
      <c r="K9" s="52"/>
      <c r="L9" s="52"/>
      <c r="U9" s="598"/>
      <c r="V9" s="598"/>
      <c r="W9" s="598"/>
      <c r="X9" s="598"/>
      <c r="Y9" s="828"/>
      <c r="Z9" s="828"/>
      <c r="AA9" s="831"/>
      <c r="AB9" s="904"/>
      <c r="AC9" s="905"/>
      <c r="AD9" s="905"/>
      <c r="AE9" s="905"/>
      <c r="AF9" s="905"/>
      <c r="AG9" s="905"/>
      <c r="AH9" s="905"/>
      <c r="AI9" s="905"/>
      <c r="AJ9" s="905"/>
      <c r="AK9" s="904"/>
      <c r="AL9" s="904"/>
      <c r="AM9" s="904"/>
      <c r="AN9" s="904"/>
      <c r="AO9" s="904"/>
      <c r="AP9" s="904"/>
      <c r="AQ9" s="904"/>
      <c r="AR9" s="904"/>
      <c r="AS9" s="904"/>
      <c r="AT9" s="904"/>
      <c r="AU9" s="831"/>
      <c r="AV9" s="831"/>
      <c r="AW9" s="831"/>
      <c r="AX9" s="831"/>
      <c r="AY9" s="831"/>
      <c r="AZ9" s="831"/>
      <c r="BA9" s="831"/>
      <c r="BB9" s="828"/>
      <c r="BC9" s="828"/>
      <c r="BD9" s="828"/>
      <c r="BE9" s="828"/>
      <c r="BF9" s="828"/>
      <c r="BG9" s="828"/>
      <c r="BH9" s="828"/>
      <c r="BI9" s="828"/>
      <c r="BJ9" s="828"/>
      <c r="BK9" s="828"/>
      <c r="BL9" s="828"/>
      <c r="BM9" s="828"/>
      <c r="BN9" s="828"/>
    </row>
    <row r="10" spans="2:66" ht="3" customHeight="1">
      <c r="B10" s="56"/>
      <c r="C10" s="57"/>
      <c r="D10" s="58"/>
      <c r="E10" s="50"/>
      <c r="F10" s="50"/>
      <c r="G10" s="50"/>
      <c r="H10" s="50"/>
      <c r="I10" s="55"/>
      <c r="J10" s="55"/>
      <c r="K10" s="59"/>
      <c r="L10" s="50"/>
      <c r="U10" s="598"/>
      <c r="V10" s="598"/>
      <c r="W10" s="598"/>
      <c r="X10" s="598"/>
      <c r="Y10" s="828"/>
      <c r="Z10" s="828"/>
      <c r="AA10" s="831"/>
      <c r="AB10" s="905"/>
      <c r="AC10" s="905"/>
      <c r="AD10" s="905"/>
      <c r="AE10" s="905"/>
      <c r="AF10" s="905"/>
      <c r="AG10" s="905"/>
      <c r="AH10" s="905"/>
      <c r="AI10" s="905"/>
      <c r="AJ10" s="905"/>
      <c r="AK10" s="904"/>
      <c r="AL10" s="904"/>
      <c r="AM10" s="904"/>
      <c r="AN10" s="904"/>
      <c r="AO10" s="904"/>
      <c r="AP10" s="904"/>
      <c r="AQ10" s="904"/>
      <c r="AR10" s="904"/>
      <c r="AS10" s="904"/>
      <c r="AT10" s="904"/>
      <c r="AU10" s="831"/>
      <c r="AV10" s="831"/>
      <c r="AW10" s="831"/>
      <c r="AX10" s="831"/>
      <c r="AY10" s="831"/>
      <c r="AZ10" s="831"/>
      <c r="BA10" s="831"/>
      <c r="BB10" s="828"/>
      <c r="BC10" s="828"/>
      <c r="BD10" s="828"/>
      <c r="BE10" s="828"/>
      <c r="BF10" s="828"/>
      <c r="BG10" s="828"/>
      <c r="BH10" s="828"/>
      <c r="BI10" s="828"/>
      <c r="BJ10" s="828"/>
      <c r="BK10" s="828"/>
      <c r="BL10" s="828"/>
      <c r="BM10" s="828"/>
      <c r="BN10" s="828"/>
    </row>
    <row r="11" spans="2:66" ht="9" customHeight="1">
      <c r="B11" s="60"/>
      <c r="C11" s="50"/>
      <c r="D11" s="50"/>
      <c r="I11" s="50"/>
      <c r="J11" s="61" t="s">
        <v>51</v>
      </c>
      <c r="K11" s="62" t="s">
        <v>52</v>
      </c>
      <c r="U11" s="598"/>
      <c r="V11" s="598"/>
      <c r="W11" s="598"/>
      <c r="X11" s="598"/>
      <c r="Y11" s="828"/>
      <c r="Z11" s="828"/>
      <c r="AA11" s="831"/>
      <c r="AB11" s="904"/>
      <c r="AC11" s="906"/>
      <c r="AD11" s="906"/>
      <c r="AE11" s="906"/>
      <c r="AF11" s="906"/>
      <c r="AG11" s="906"/>
      <c r="AH11" s="906"/>
      <c r="AI11" s="906"/>
      <c r="AJ11" s="906"/>
      <c r="AK11" s="904"/>
      <c r="AL11" s="904"/>
      <c r="AM11" s="904"/>
      <c r="AN11" s="904"/>
      <c r="AO11" s="904"/>
      <c r="AP11" s="904"/>
      <c r="AQ11" s="904"/>
      <c r="AR11" s="904"/>
      <c r="AS11" s="904"/>
      <c r="AT11" s="904"/>
      <c r="AU11" s="831"/>
      <c r="AV11" s="831"/>
      <c r="AW11" s="831"/>
      <c r="AX11" s="831"/>
      <c r="AY11" s="831"/>
      <c r="AZ11" s="831"/>
      <c r="BA11" s="831"/>
      <c r="BB11" s="828"/>
      <c r="BC11" s="828"/>
      <c r="BD11" s="828"/>
      <c r="BE11" s="828"/>
      <c r="BF11" s="828"/>
      <c r="BG11" s="828"/>
      <c r="BH11" s="828"/>
      <c r="BI11" s="828"/>
      <c r="BJ11" s="828"/>
      <c r="BK11" s="828"/>
      <c r="BL11" s="828"/>
      <c r="BM11" s="828"/>
      <c r="BN11" s="828"/>
    </row>
    <row r="12" spans="2:66" ht="12" customHeight="1">
      <c r="B12" s="60"/>
      <c r="C12" s="63" t="s">
        <v>53</v>
      </c>
      <c r="D12" s="50"/>
      <c r="E12" s="43"/>
      <c r="F12" s="43"/>
      <c r="G12" s="43"/>
      <c r="H12" s="43"/>
      <c r="J12" s="64"/>
      <c r="K12" s="59"/>
      <c r="U12" s="598"/>
      <c r="V12" s="598"/>
      <c r="W12" s="598"/>
      <c r="X12" s="598"/>
      <c r="Y12" s="828"/>
      <c r="Z12" s="828"/>
      <c r="AA12" s="831"/>
      <c r="AB12" s="904"/>
      <c r="AC12" s="906">
        <v>39814</v>
      </c>
      <c r="AD12" s="906">
        <v>40179</v>
      </c>
      <c r="AE12" s="906">
        <v>40544</v>
      </c>
      <c r="AF12" s="906">
        <v>40909</v>
      </c>
      <c r="AG12" s="906">
        <v>41275</v>
      </c>
      <c r="AH12" s="906">
        <v>41640</v>
      </c>
      <c r="AI12" s="906">
        <v>42005</v>
      </c>
      <c r="AJ12" s="906">
        <v>42370</v>
      </c>
      <c r="AK12" s="906">
        <v>42736</v>
      </c>
      <c r="AL12" s="906">
        <v>43101</v>
      </c>
      <c r="AM12" s="906">
        <v>43466</v>
      </c>
      <c r="AN12" s="906">
        <v>43831</v>
      </c>
      <c r="AO12" s="906">
        <v>44197</v>
      </c>
      <c r="AP12" s="906">
        <v>44562</v>
      </c>
      <c r="AQ12" s="906">
        <v>44927</v>
      </c>
      <c r="AR12" s="906">
        <v>45292</v>
      </c>
      <c r="AS12" s="906">
        <v>45658</v>
      </c>
      <c r="AT12" s="906">
        <v>46023</v>
      </c>
      <c r="AU12" s="906">
        <v>46388</v>
      </c>
      <c r="AV12" s="906">
        <v>46753</v>
      </c>
      <c r="AW12" s="906">
        <v>47119</v>
      </c>
      <c r="AX12" s="906">
        <v>47484</v>
      </c>
      <c r="AY12" s="906">
        <v>47849</v>
      </c>
      <c r="AZ12" s="906">
        <v>48214</v>
      </c>
      <c r="BA12" s="831"/>
      <c r="BB12" s="828"/>
      <c r="BC12" s="828"/>
      <c r="BD12" s="828"/>
      <c r="BE12" s="828"/>
      <c r="BF12" s="828"/>
      <c r="BG12" s="828"/>
      <c r="BH12" s="828"/>
      <c r="BI12" s="828"/>
      <c r="BJ12" s="828"/>
      <c r="BK12" s="828"/>
      <c r="BL12" s="828"/>
      <c r="BM12" s="828"/>
      <c r="BN12" s="828"/>
    </row>
    <row r="13" spans="2:66" ht="12.75" customHeight="1">
      <c r="B13" s="60"/>
      <c r="C13" s="63" t="s">
        <v>54</v>
      </c>
      <c r="D13" s="65"/>
      <c r="E13" s="43"/>
      <c r="F13" s="43"/>
      <c r="G13" s="46"/>
      <c r="H13" s="46"/>
      <c r="J13" s="66">
        <f>IF(Subcontracts!F5&gt;=2,(EDATE('Year 1'!J13,12)),)</f>
        <v>366</v>
      </c>
      <c r="K13" s="67">
        <f>IF(J13&gt;0,((EDATE(J13,12))-1),)</f>
        <v>730</v>
      </c>
      <c r="L13" s="68"/>
      <c r="U13" s="598"/>
      <c r="V13" s="598"/>
      <c r="W13" s="598"/>
      <c r="X13" s="598"/>
      <c r="Y13" s="828"/>
      <c r="Z13" s="828"/>
      <c r="AA13" s="831"/>
      <c r="AB13" s="904"/>
      <c r="AC13" s="908" t="s">
        <v>266</v>
      </c>
      <c r="AD13" s="908" t="s">
        <v>267</v>
      </c>
      <c r="AE13" s="908" t="s">
        <v>268</v>
      </c>
      <c r="AF13" s="908" t="s">
        <v>269</v>
      </c>
      <c r="AG13" s="908" t="s">
        <v>270</v>
      </c>
      <c r="AH13" s="908" t="s">
        <v>271</v>
      </c>
      <c r="AI13" s="908" t="s">
        <v>272</v>
      </c>
      <c r="AJ13" s="908" t="s">
        <v>273</v>
      </c>
      <c r="AK13" s="908" t="s">
        <v>378</v>
      </c>
      <c r="AL13" s="908" t="s">
        <v>379</v>
      </c>
      <c r="AM13" s="908" t="s">
        <v>380</v>
      </c>
      <c r="AN13" s="908" t="s">
        <v>381</v>
      </c>
      <c r="AO13" s="908" t="s">
        <v>382</v>
      </c>
      <c r="AP13" s="908" t="s">
        <v>452</v>
      </c>
      <c r="AQ13" s="908" t="s">
        <v>454</v>
      </c>
      <c r="AR13" s="908" t="s">
        <v>455</v>
      </c>
      <c r="AS13" s="908" t="s">
        <v>456</v>
      </c>
      <c r="AT13" s="908" t="s">
        <v>457</v>
      </c>
      <c r="AU13" s="908" t="s">
        <v>458</v>
      </c>
      <c r="AV13" s="908" t="s">
        <v>459</v>
      </c>
      <c r="AW13" s="908" t="s">
        <v>460</v>
      </c>
      <c r="AX13" s="908" t="s">
        <v>461</v>
      </c>
      <c r="AY13" s="908" t="s">
        <v>462</v>
      </c>
      <c r="AZ13" s="908" t="s">
        <v>463</v>
      </c>
      <c r="BA13" s="831"/>
      <c r="BB13" s="828"/>
      <c r="BC13" s="828"/>
      <c r="BD13" s="828"/>
      <c r="BE13" s="828"/>
      <c r="BF13" s="828"/>
      <c r="BG13" s="828"/>
      <c r="BH13" s="828"/>
      <c r="BI13" s="828"/>
      <c r="BJ13" s="828"/>
      <c r="BK13" s="828"/>
      <c r="BL13" s="828"/>
      <c r="BM13" s="828"/>
      <c r="BN13" s="828"/>
    </row>
    <row r="14" spans="2:66" ht="3.75" customHeight="1">
      <c r="B14" s="60"/>
      <c r="C14" s="50"/>
      <c r="D14" s="50"/>
      <c r="H14" s="775"/>
      <c r="I14" s="81"/>
      <c r="J14" s="52"/>
      <c r="K14" s="70"/>
      <c r="L14" s="52"/>
      <c r="U14" s="598"/>
      <c r="V14" s="598"/>
      <c r="W14" s="598"/>
      <c r="X14" s="598"/>
      <c r="Y14" s="828"/>
      <c r="Z14" s="828"/>
      <c r="AA14" s="831"/>
      <c r="AB14" s="905"/>
      <c r="AC14" s="904"/>
      <c r="AD14" s="904"/>
      <c r="AE14" s="904"/>
      <c r="AF14" s="904"/>
      <c r="AG14" s="904"/>
      <c r="AH14" s="904"/>
      <c r="AI14" s="904"/>
      <c r="AJ14" s="904"/>
      <c r="AK14" s="904"/>
      <c r="AL14" s="904"/>
      <c r="AM14" s="904"/>
      <c r="AN14" s="904"/>
      <c r="AO14" s="904"/>
      <c r="AP14" s="904"/>
      <c r="AQ14" s="904"/>
      <c r="AR14" s="904"/>
      <c r="AS14" s="904"/>
      <c r="AT14" s="904"/>
      <c r="AU14" s="831"/>
      <c r="AV14" s="831"/>
      <c r="AW14" s="831"/>
      <c r="AX14" s="831"/>
      <c r="AY14" s="831"/>
      <c r="AZ14" s="831"/>
      <c r="BA14" s="831"/>
      <c r="BB14" s="828"/>
      <c r="BC14" s="828"/>
      <c r="BD14" s="828"/>
      <c r="BE14" s="828"/>
      <c r="BF14" s="828"/>
      <c r="BG14" s="828"/>
      <c r="BH14" s="828"/>
      <c r="BI14" s="828"/>
      <c r="BJ14" s="828"/>
      <c r="BK14" s="828"/>
      <c r="BL14" s="828"/>
      <c r="BM14" s="828"/>
      <c r="BN14" s="828"/>
    </row>
    <row r="15" spans="2:66" ht="12" customHeight="1">
      <c r="B15" s="71"/>
      <c r="C15" s="866" t="s">
        <v>402</v>
      </c>
      <c r="D15" s="866"/>
      <c r="E15" s="57"/>
      <c r="F15" s="868"/>
      <c r="G15" s="55"/>
      <c r="H15" s="57"/>
      <c r="I15" s="869"/>
      <c r="J15" s="776"/>
      <c r="K15" s="850"/>
      <c r="L15" s="850"/>
      <c r="M15" s="49"/>
      <c r="N15" s="49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828"/>
      <c r="Z15" s="828"/>
      <c r="AA15" s="831"/>
      <c r="AB15" s="905" t="s">
        <v>465</v>
      </c>
      <c r="AC15" s="904"/>
      <c r="AD15" s="904"/>
      <c r="AE15" s="904"/>
      <c r="AF15" s="904"/>
      <c r="AG15" s="904"/>
      <c r="AH15" s="904"/>
      <c r="AI15" s="904"/>
      <c r="AJ15" s="904"/>
      <c r="AK15" s="904"/>
      <c r="AL15" s="904"/>
      <c r="AM15" s="904"/>
      <c r="AN15" s="904"/>
      <c r="AO15" s="904"/>
      <c r="AP15" s="904"/>
      <c r="AQ15" s="904"/>
      <c r="AR15" s="904"/>
      <c r="AS15" s="904"/>
      <c r="AT15" s="904"/>
      <c r="AU15" s="831"/>
      <c r="AV15" s="831"/>
      <c r="AW15" s="831"/>
      <c r="AX15" s="831"/>
      <c r="AY15" s="831"/>
      <c r="AZ15" s="831"/>
      <c r="BA15" s="831"/>
      <c r="BB15" s="828"/>
      <c r="BC15" s="828"/>
      <c r="BD15" s="828"/>
      <c r="BE15" s="828"/>
      <c r="BF15" s="828"/>
      <c r="BG15" s="828"/>
      <c r="BH15" s="828"/>
      <c r="BI15" s="828"/>
      <c r="BJ15" s="828"/>
      <c r="BK15" s="828"/>
      <c r="BL15" s="828"/>
      <c r="BM15" s="828"/>
      <c r="BN15" s="828"/>
    </row>
    <row r="16" spans="2:66" ht="12" customHeight="1">
      <c r="B16" s="861"/>
      <c r="C16" s="733" t="s">
        <v>395</v>
      </c>
      <c r="D16" s="116"/>
      <c r="E16" s="75"/>
      <c r="F16" s="849"/>
      <c r="G16" s="50"/>
      <c r="H16" s="75"/>
      <c r="I16" s="867"/>
      <c r="J16" s="776"/>
      <c r="K16" s="850"/>
      <c r="L16" s="850"/>
      <c r="M16" s="75"/>
      <c r="N16" s="49"/>
      <c r="O16" s="598"/>
      <c r="P16" s="598"/>
      <c r="Q16" s="598"/>
      <c r="R16" s="598"/>
      <c r="S16" s="598"/>
      <c r="T16" s="598"/>
      <c r="U16" s="598"/>
      <c r="V16" s="598"/>
      <c r="W16" s="598"/>
      <c r="X16" s="598"/>
      <c r="Y16" s="828"/>
      <c r="Z16" s="828"/>
      <c r="AA16" s="831"/>
      <c r="AB16" s="905"/>
      <c r="AC16" s="904"/>
      <c r="AD16" s="904"/>
      <c r="AE16" s="904"/>
      <c r="AF16" s="904"/>
      <c r="AG16" s="904"/>
      <c r="AH16" s="904"/>
      <c r="AI16" s="904"/>
      <c r="AJ16" s="904"/>
      <c r="AK16" s="904"/>
      <c r="AL16" s="904"/>
      <c r="AM16" s="904"/>
      <c r="AN16" s="904"/>
      <c r="AO16" s="904"/>
      <c r="AP16" s="904"/>
      <c r="AQ16" s="904"/>
      <c r="AR16" s="904"/>
      <c r="AS16" s="904"/>
      <c r="AT16" s="904"/>
      <c r="AU16" s="831"/>
      <c r="AV16" s="831"/>
      <c r="AW16" s="831"/>
      <c r="AX16" s="831"/>
      <c r="AY16" s="831"/>
      <c r="AZ16" s="831"/>
      <c r="BA16" s="831"/>
      <c r="BB16" s="828"/>
      <c r="BC16" s="828"/>
      <c r="BD16" s="828"/>
      <c r="BE16" s="828"/>
      <c r="BF16" s="828"/>
      <c r="BG16" s="828"/>
      <c r="BH16" s="828"/>
      <c r="BI16" s="828"/>
      <c r="BJ16" s="828"/>
      <c r="BK16" s="828"/>
      <c r="BL16" s="828"/>
      <c r="BM16" s="828"/>
      <c r="BN16" s="828"/>
    </row>
    <row r="17" spans="2:66" ht="12" customHeight="1">
      <c r="B17" s="74" t="s">
        <v>55</v>
      </c>
      <c r="C17" s="733" t="s">
        <v>397</v>
      </c>
      <c r="D17" s="116"/>
      <c r="E17" s="76"/>
      <c r="F17" s="864"/>
      <c r="G17" s="50"/>
      <c r="H17" s="75"/>
      <c r="I17" s="867"/>
      <c r="J17" s="776"/>
      <c r="K17" s="850"/>
      <c r="L17" s="850"/>
      <c r="M17" s="49"/>
      <c r="N17" s="49"/>
      <c r="O17" s="598"/>
      <c r="P17" s="598"/>
      <c r="Q17" s="598"/>
      <c r="R17" s="598"/>
      <c r="S17" s="598"/>
      <c r="T17" s="598"/>
      <c r="U17" s="598"/>
      <c r="V17" s="598"/>
      <c r="W17" s="598"/>
      <c r="X17" s="598"/>
      <c r="Y17" s="828"/>
      <c r="Z17" s="828"/>
      <c r="AA17" s="831"/>
      <c r="AB17" s="905"/>
      <c r="AC17" s="904"/>
      <c r="AD17" s="904"/>
      <c r="AE17" s="904"/>
      <c r="AF17" s="904"/>
      <c r="AG17" s="904"/>
      <c r="AH17" s="904"/>
      <c r="AI17" s="904"/>
      <c r="AJ17" s="904"/>
      <c r="AK17" s="904"/>
      <c r="AL17" s="904"/>
      <c r="AM17" s="904"/>
      <c r="AN17" s="904"/>
      <c r="AO17" s="904"/>
      <c r="AP17" s="904"/>
      <c r="AQ17" s="904"/>
      <c r="AR17" s="904"/>
      <c r="AS17" s="904"/>
      <c r="AT17" s="904"/>
      <c r="AU17" s="831"/>
      <c r="AV17" s="831"/>
      <c r="AW17" s="831"/>
      <c r="AX17" s="831"/>
      <c r="AY17" s="831"/>
      <c r="AZ17" s="831"/>
      <c r="BA17" s="831"/>
      <c r="BB17" s="828"/>
      <c r="BC17" s="828"/>
      <c r="BD17" s="828"/>
      <c r="BE17" s="828"/>
      <c r="BF17" s="828"/>
      <c r="BG17" s="828"/>
      <c r="BH17" s="828"/>
      <c r="BI17" s="828"/>
      <c r="BJ17" s="828"/>
      <c r="BK17" s="828"/>
      <c r="BL17" s="828"/>
      <c r="BM17" s="828"/>
      <c r="BN17" s="828"/>
    </row>
    <row r="18" spans="2:66" ht="10.5" customHeight="1">
      <c r="B18" s="861" t="s">
        <v>60</v>
      </c>
      <c r="C18" s="858"/>
      <c r="D18" s="853"/>
      <c r="E18" s="870" t="s">
        <v>78</v>
      </c>
      <c r="F18" s="1036" t="s">
        <v>340</v>
      </c>
      <c r="G18" s="1036" t="s">
        <v>341</v>
      </c>
      <c r="H18" s="1036" t="s">
        <v>400</v>
      </c>
      <c r="I18" s="1059" t="s">
        <v>58</v>
      </c>
      <c r="J18" s="857" t="s">
        <v>62</v>
      </c>
      <c r="K18" s="857" t="s">
        <v>55</v>
      </c>
      <c r="L18" s="858"/>
      <c r="M18" s="49"/>
      <c r="N18" s="49"/>
      <c r="O18" s="598"/>
      <c r="P18" s="598"/>
      <c r="Q18" s="600"/>
      <c r="R18" s="598"/>
      <c r="S18" s="598"/>
      <c r="T18" s="598"/>
      <c r="U18" s="598"/>
      <c r="V18" s="598"/>
      <c r="W18" s="598"/>
      <c r="X18" s="598"/>
      <c r="Y18" s="828"/>
      <c r="Z18" s="828"/>
      <c r="AA18" s="831"/>
      <c r="AB18" s="905"/>
      <c r="AC18" s="904"/>
      <c r="AD18" s="904"/>
      <c r="AE18" s="904"/>
      <c r="AF18" s="904"/>
      <c r="AG18" s="904"/>
      <c r="AH18" s="904"/>
      <c r="AI18" s="904"/>
      <c r="AJ18" s="909" t="s">
        <v>18</v>
      </c>
      <c r="AK18" s="909" t="s">
        <v>18</v>
      </c>
      <c r="AL18" s="909" t="s">
        <v>18</v>
      </c>
      <c r="AM18" s="909" t="s">
        <v>18</v>
      </c>
      <c r="AN18" s="904"/>
      <c r="AO18" s="904"/>
      <c r="AP18" s="904"/>
      <c r="AQ18" s="904"/>
      <c r="AR18" s="904"/>
      <c r="AS18" s="904"/>
      <c r="AT18" s="904"/>
      <c r="AU18" s="831"/>
      <c r="AV18" s="831"/>
      <c r="AW18" s="831"/>
      <c r="AX18" s="831"/>
      <c r="AY18" s="831"/>
      <c r="AZ18" s="831"/>
      <c r="BA18" s="831"/>
      <c r="BB18" s="828"/>
      <c r="BC18" s="828"/>
      <c r="BD18" s="828"/>
      <c r="BE18" s="961"/>
      <c r="BF18" s="828"/>
      <c r="BG18" s="828"/>
      <c r="BH18" s="828"/>
      <c r="BI18" s="828"/>
      <c r="BJ18" s="828"/>
      <c r="BK18" s="828"/>
      <c r="BL18" s="828"/>
      <c r="BM18" s="828"/>
      <c r="BN18" s="828"/>
    </row>
    <row r="19" spans="2:66" ht="12" customHeight="1">
      <c r="B19" s="861" t="s">
        <v>63</v>
      </c>
      <c r="C19" s="862" t="s">
        <v>64</v>
      </c>
      <c r="D19" s="69"/>
      <c r="E19" s="865" t="s">
        <v>79</v>
      </c>
      <c r="F19" s="1037"/>
      <c r="G19" s="1037"/>
      <c r="H19" s="1037"/>
      <c r="I19" s="1060"/>
      <c r="J19" s="859" t="s">
        <v>66</v>
      </c>
      <c r="K19" s="859" t="s">
        <v>67</v>
      </c>
      <c r="L19" s="80" t="s">
        <v>68</v>
      </c>
      <c r="M19" s="49"/>
      <c r="N19" s="49"/>
      <c r="O19" s="598"/>
      <c r="P19" s="598"/>
      <c r="Q19" s="600"/>
      <c r="R19" s="598"/>
      <c r="S19" s="598"/>
      <c r="T19" s="598"/>
      <c r="U19" s="172"/>
      <c r="V19" s="172"/>
      <c r="W19" s="172"/>
      <c r="X19" s="172"/>
      <c r="Y19" s="828"/>
      <c r="Z19" s="828"/>
      <c r="AA19" s="831"/>
      <c r="AB19" s="905"/>
      <c r="AC19" s="904"/>
      <c r="AD19" s="904"/>
      <c r="AE19" s="904"/>
      <c r="AF19" s="904"/>
      <c r="AG19" s="904"/>
      <c r="AH19" s="904"/>
      <c r="AI19" s="904"/>
      <c r="AJ19" s="909" t="s">
        <v>383</v>
      </c>
      <c r="AK19" s="909" t="s">
        <v>389</v>
      </c>
      <c r="AL19" s="909" t="s">
        <v>390</v>
      </c>
      <c r="AM19" s="909" t="s">
        <v>391</v>
      </c>
      <c r="AN19" s="904"/>
      <c r="AO19" s="904"/>
      <c r="AP19" s="904"/>
      <c r="AQ19" s="904"/>
      <c r="AR19" s="904"/>
      <c r="AS19" s="904"/>
      <c r="AT19" s="904"/>
      <c r="AU19" s="831"/>
      <c r="AV19" s="831"/>
      <c r="AW19" s="831"/>
      <c r="AX19" s="831"/>
      <c r="AY19" s="831"/>
      <c r="AZ19" s="831"/>
      <c r="BA19" s="831"/>
      <c r="BB19" s="828"/>
      <c r="BC19" s="828"/>
      <c r="BD19" s="828"/>
      <c r="BE19" s="961"/>
      <c r="BF19" s="828"/>
      <c r="BG19" s="828"/>
      <c r="BH19" s="828"/>
      <c r="BI19" s="828"/>
      <c r="BJ19" s="828"/>
      <c r="BK19" s="828"/>
      <c r="BL19" s="828"/>
      <c r="BM19" s="828"/>
      <c r="BN19" s="828"/>
    </row>
    <row r="20" spans="2:66" ht="13.5" customHeight="1">
      <c r="B20" s="603"/>
      <c r="C20" s="1028">
        <f>IF(Subcontracts!$F$5=0,"",IF(Subcontracts!$F$5&gt;=2,+'Year 1'!C20:D21,""))</f>
        <v>0</v>
      </c>
      <c r="D20" s="1030"/>
      <c r="E20" s="1056" t="s">
        <v>401</v>
      </c>
      <c r="F20" s="1054">
        <f>IF(Subcontracts!$F$5=0,"",IF(Subcontracts!$F$5&gt;=2,+'Year 1'!F20,""))</f>
        <v>0</v>
      </c>
      <c r="G20" s="1054">
        <f>IF(Subcontracts!$F$5=0,"",IF(Subcontracts!$F$5&gt;=2,+'Year 1'!G20,""))</f>
        <v>0</v>
      </c>
      <c r="H20" s="1004">
        <f>IF(Subcontracts!$F$5=0,"",IF(Subcontracts!$F$5&gt;=2,+'Year 1'!H20,""))</f>
        <v>0</v>
      </c>
      <c r="I20" s="86"/>
      <c r="J20" s="87"/>
      <c r="K20" s="87"/>
      <c r="L20" s="88"/>
      <c r="M20" s="49"/>
      <c r="N20" s="49"/>
      <c r="O20" s="598"/>
      <c r="P20" s="598"/>
      <c r="Q20" s="600"/>
      <c r="R20" s="600"/>
      <c r="S20" s="600"/>
      <c r="T20" s="600"/>
      <c r="U20" s="774"/>
      <c r="V20" s="774"/>
      <c r="W20" s="774"/>
      <c r="X20" s="774"/>
      <c r="Y20" s="172"/>
      <c r="Z20" s="172"/>
      <c r="AA20" s="831"/>
      <c r="AB20" s="904"/>
      <c r="AC20" s="904"/>
      <c r="AD20" s="904"/>
      <c r="AE20" s="904"/>
      <c r="AF20" s="904"/>
      <c r="AG20" s="904"/>
      <c r="AH20" s="904"/>
      <c r="AI20" s="904"/>
      <c r="AJ20" s="910"/>
      <c r="AK20" s="904"/>
      <c r="AL20" s="904"/>
      <c r="AM20" s="904"/>
      <c r="AN20" s="904"/>
      <c r="AO20" s="904"/>
      <c r="AP20" s="904"/>
      <c r="AQ20" s="904"/>
      <c r="AR20" s="904"/>
      <c r="AS20" s="904"/>
      <c r="AT20" s="904"/>
      <c r="AU20" s="831"/>
      <c r="AV20" s="831"/>
      <c r="AW20" s="831"/>
      <c r="AX20" s="831"/>
      <c r="AY20" s="831"/>
      <c r="AZ20" s="831"/>
      <c r="BA20" s="831"/>
      <c r="BB20" s="828"/>
      <c r="BC20" s="828"/>
      <c r="BD20" s="828"/>
      <c r="BE20" s="961"/>
      <c r="BF20" s="828"/>
      <c r="BG20" s="828"/>
      <c r="BH20" s="828"/>
      <c r="BI20" s="828"/>
      <c r="BJ20" s="828"/>
      <c r="BK20" s="828"/>
      <c r="BL20" s="828"/>
      <c r="BM20" s="828"/>
      <c r="BN20" s="828"/>
    </row>
    <row r="21" spans="1:66" ht="13.5" customHeight="1">
      <c r="A21" s="588"/>
      <c r="B21" s="605">
        <f>IF(AND(Subcontracts!$Z$50=1),AJ21,IF(AND(Subcontracts!$Z$50=2),AK21,IF(AND(Subcontracts!$Z$50=3),AL21,IF(AND(Subcontracts!$Z$50=4),AM21,0))))</f>
        <v>0</v>
      </c>
      <c r="C21" s="1020"/>
      <c r="D21" s="1031"/>
      <c r="E21" s="1057"/>
      <c r="F21" s="1005"/>
      <c r="G21" s="1005"/>
      <c r="H21" s="1005"/>
      <c r="I21" s="90">
        <f>IF(Subcontracts!$F$5&gt;=2,+'Year 1'!I21+('Year 1'!I21*('Year 2'!$D$2/100)),)</f>
        <v>0</v>
      </c>
      <c r="J21" s="91">
        <f>IF(Subcontracts!$F$5&gt;=2,(((I21/12)*F20)+((I21/9)*G20)+((I21/3)*H20)),)</f>
        <v>0</v>
      </c>
      <c r="K21" s="92">
        <f>IF(Subcontracts!F$5&gt;=2,(B21/100)*J21,)</f>
        <v>0</v>
      </c>
      <c r="L21" s="93">
        <f>IF(Subcontracts!F$5&gt;=2,J21+K21,)</f>
        <v>0</v>
      </c>
      <c r="M21" s="94"/>
      <c r="N21" s="94"/>
      <c r="O21" s="596"/>
      <c r="P21" s="596"/>
      <c r="Q21" s="597"/>
      <c r="R21" s="597"/>
      <c r="S21" s="597"/>
      <c r="T21" s="597"/>
      <c r="V21" s="589"/>
      <c r="W21" s="589"/>
      <c r="X21" s="589"/>
      <c r="AA21" s="831"/>
      <c r="AB21" s="905"/>
      <c r="AC21" s="904"/>
      <c r="AD21" s="911"/>
      <c r="AE21" s="911"/>
      <c r="AF21" s="911"/>
      <c r="AG21" s="911"/>
      <c r="AH21" s="911"/>
      <c r="AI21" s="911"/>
      <c r="AJ21" s="912">
        <f>IF(AND('Year 1'!$B21=$AD$25),$AE$25,IF(AND('Year 1'!$B21=$AD$26),$AE$26,IF(AND('Year 1'!$B21=$AD$27),$AE$27,IF(AND('Year 1'!$B21=$AD$28),$AE$28,IF(AND('Year 1'!$B21=$AD$29),$AE$29,0)))))</f>
        <v>0</v>
      </c>
      <c r="AK21" s="912">
        <f>IF(AND('Year 1'!$B21=$AD$37),$AE$37,IF(AND('Year 1'!$B21=$AD$38),$AE$38,IF(AND('Year 1'!$B21=$AD$39),$AE$39,IF(AND('Year 1'!$B21=$AD$40),$AE$40,IF(AND('Year 1'!$B21=$AD$41),$AE$41,0)))))</f>
        <v>0</v>
      </c>
      <c r="AL21" s="912">
        <f>IF(AND('Year 1'!$B21=$AD$48),$AE$48,IF(AND('Year 1'!$B21=$AD$49),$AE$49,IF(AND('Year 1'!$B21=$AD$50),$AE$50,IF(AND('Year 1'!$B21=$AD$51),$AE$51,IF(AND('Year 1'!$B21=$AD$52),$AE$52,0)))))</f>
        <v>0</v>
      </c>
      <c r="AM21" s="912">
        <f>IF(AND('Year 1'!$B21=$AD$60),$AE$60,IF(AND('Year 1'!$B21=$AD$61),$AE$61,IF(AND('Year 1'!$B21=$AD$62),$AE$62,IF(AND('Year 1'!$B21=$AD$63),$AE$63,IF(AND('Year 1'!$B21=$AD$64),$AE$64,0)))))</f>
        <v>0</v>
      </c>
      <c r="AN21" s="911"/>
      <c r="AO21" s="911"/>
      <c r="AP21" s="911"/>
      <c r="AQ21" s="911"/>
      <c r="AR21" s="911"/>
      <c r="AS21" s="911"/>
      <c r="AT21" s="911"/>
      <c r="AU21" s="831"/>
      <c r="AV21" s="831"/>
      <c r="AW21" s="831"/>
      <c r="AX21" s="831"/>
      <c r="AY21" s="831"/>
      <c r="AZ21" s="831"/>
      <c r="BA21" s="831"/>
      <c r="BB21" s="828"/>
      <c r="BC21" s="828"/>
      <c r="BD21" s="828"/>
      <c r="BE21" s="962"/>
      <c r="BF21" s="828"/>
      <c r="BG21" s="828"/>
      <c r="BH21" s="828"/>
      <c r="BI21" s="828"/>
      <c r="BJ21" s="828"/>
      <c r="BK21" s="828"/>
      <c r="BL21" s="828"/>
      <c r="BM21" s="828"/>
      <c r="BN21" s="828"/>
    </row>
    <row r="22" spans="1:66" ht="13.5" customHeight="1">
      <c r="A22" s="588"/>
      <c r="B22" s="603"/>
      <c r="C22" s="1018">
        <f>IF(Subcontracts!$F$5=0,"",IF(Subcontracts!$F$5&gt;=2,+'Year 1'!C22:D23,""))</f>
        <v>0</v>
      </c>
      <c r="D22" s="1030"/>
      <c r="E22" s="1046">
        <f>IF(Subcontracts!$F$5=0,"",IF(Subcontracts!$F$5&gt;=2,+'Year 1'!E22:E23,""))</f>
        <v>0</v>
      </c>
      <c r="F22" s="1054">
        <f>IF(Subcontracts!$F$5=0,"",IF(Subcontracts!$F$5&gt;=2,+'Year 1'!F22,""))</f>
        <v>0</v>
      </c>
      <c r="G22" s="1054">
        <f>IF(Subcontracts!$F$5=0,"",IF(Subcontracts!$F$5&gt;=2,+'Year 1'!G22,""))</f>
        <v>0</v>
      </c>
      <c r="H22" s="1004">
        <f>IF(Subcontracts!$F$5=0,"",IF(Subcontracts!$F$5&gt;=2,+'Year 1'!H22,""))</f>
        <v>0</v>
      </c>
      <c r="I22" s="97"/>
      <c r="J22" s="87"/>
      <c r="K22" s="87"/>
      <c r="L22" s="88"/>
      <c r="M22" s="94"/>
      <c r="N22" s="94"/>
      <c r="O22" s="596"/>
      <c r="P22" s="596"/>
      <c r="Q22" s="600"/>
      <c r="R22" s="600"/>
      <c r="S22" s="600"/>
      <c r="T22" s="598"/>
      <c r="AA22" s="831"/>
      <c r="AB22" s="905" t="s">
        <v>383</v>
      </c>
      <c r="AC22" s="904"/>
      <c r="AD22" s="911"/>
      <c r="AE22" s="911"/>
      <c r="AF22" s="911"/>
      <c r="AG22" s="911"/>
      <c r="AH22" s="911"/>
      <c r="AI22" s="911"/>
      <c r="AJ22" s="912">
        <f>IF(AND('Year 1'!$B22=$AD$25),$AE$25,IF(AND('Year 1'!$B22=$AD$26),$AE$26,IF(AND('Year 1'!$B22=$AD$27),$AE$27,IF(AND('Year 1'!$B22=$AD$28),$AE$28,IF(AND('Year 1'!$B22=$AD$29),$AE$29,0)))))</f>
        <v>0</v>
      </c>
      <c r="AK22" s="912">
        <f>IF(AND('Year 1'!$B22=$AD$37),$AE$37,IF(AND('Year 1'!$B22=$AD$38),$AE$38,IF(AND('Year 1'!$B22=$AD$39),$AE$39,IF(AND('Year 1'!$B22=$AD$40),$AE$40,IF(AND('Year 1'!$B22=$AD$41),$AE$41,0)))))</f>
        <v>0</v>
      </c>
      <c r="AL22" s="912">
        <f>IF(AND('Year 1'!$B22=$AD$48),$AE$48,IF(AND('Year 1'!$B22=$AD$49),$AE$49,IF(AND('Year 1'!$B22=$AD$50),$AE$50,IF(AND('Year 1'!$B22=$AD$51),$AE$51,IF(AND('Year 1'!$B22=$AD$52),$AE$52,0)))))</f>
        <v>0</v>
      </c>
      <c r="AM22" s="912">
        <f>IF(AND('Year 1'!$B22=$AD$60),$AE$60,IF(AND('Year 1'!$B22=$AD$61),$AE$61,IF(AND('Year 1'!$B22=$AD$62),$AE$62,IF(AND('Year 1'!$B22=$AD$63),$AE$63,IF(AND('Year 1'!$B22=$AD$64),$AE$64,0)))))</f>
        <v>0</v>
      </c>
      <c r="AN22" s="911"/>
      <c r="AO22" s="911"/>
      <c r="AP22" s="904"/>
      <c r="AQ22" s="904"/>
      <c r="AR22" s="904"/>
      <c r="AS22" s="904"/>
      <c r="AT22" s="904"/>
      <c r="AU22" s="831"/>
      <c r="AV22" s="831"/>
      <c r="AW22" s="831"/>
      <c r="AX22" s="831"/>
      <c r="AY22" s="831"/>
      <c r="AZ22" s="831"/>
      <c r="BA22" s="831"/>
      <c r="BB22" s="828"/>
      <c r="BC22" s="828"/>
      <c r="BD22" s="828"/>
      <c r="BE22" s="962"/>
      <c r="BF22" s="828"/>
      <c r="BG22" s="828"/>
      <c r="BH22" s="828"/>
      <c r="BI22" s="828"/>
      <c r="BJ22" s="828"/>
      <c r="BK22" s="828"/>
      <c r="BL22" s="828"/>
      <c r="BM22" s="828"/>
      <c r="BN22" s="828"/>
    </row>
    <row r="23" spans="1:66" ht="13.5" customHeight="1">
      <c r="A23" s="588"/>
      <c r="B23" s="605">
        <f>IF(AND(Subcontracts!$Z$50=1),AJ23,IF(AND(Subcontracts!$Z$50=2),AK23,IF(AND(Subcontracts!$Z$50=3),AL23,IF(AND(Subcontracts!$Z$50=4),AM23,0))))</f>
        <v>0</v>
      </c>
      <c r="C23" s="1026"/>
      <c r="D23" s="1027"/>
      <c r="E23" s="1047"/>
      <c r="F23" s="1005"/>
      <c r="G23" s="1005"/>
      <c r="H23" s="1005"/>
      <c r="I23" s="99">
        <f>IF(Subcontracts!$F$5&gt;=2,+'Year 1'!I23+('Year 1'!I23*('Year 2'!$D$2/100)),)</f>
        <v>0</v>
      </c>
      <c r="J23" s="91">
        <f>IF(Subcontracts!$F$5&gt;=2,(((I23/12)*F22)+((I23/9)*G22)+((I23/3)*H22)),)</f>
        <v>0</v>
      </c>
      <c r="K23" s="92">
        <f>IF(Subcontracts!F$5&gt;=2,(B23/100)*J23,)</f>
        <v>0</v>
      </c>
      <c r="L23" s="93">
        <f>IF(Subcontracts!F$5&gt;=2,J23+K23,)</f>
        <v>0</v>
      </c>
      <c r="M23" s="94"/>
      <c r="N23" s="94"/>
      <c r="O23" s="596"/>
      <c r="P23" s="596"/>
      <c r="Q23" s="597"/>
      <c r="R23" s="597"/>
      <c r="S23" s="597"/>
      <c r="T23" s="598"/>
      <c r="AA23" s="831"/>
      <c r="AB23" s="905" t="s">
        <v>469</v>
      </c>
      <c r="AC23" s="904"/>
      <c r="AD23" s="911"/>
      <c r="AE23" s="911"/>
      <c r="AF23" s="911"/>
      <c r="AG23" s="911"/>
      <c r="AH23" s="911"/>
      <c r="AI23" s="911"/>
      <c r="AJ23" s="912">
        <f>IF(AND('Year 1'!$B23=$AD$25),$AE$25,IF(AND('Year 1'!$B23=$AD$26),$AE$26,IF(AND('Year 1'!$B23=$AD$27),$AE$27,IF(AND('Year 1'!$B23=$AD$28),$AE$28,IF(AND('Year 1'!$B23=$AD$29),$AE$29,0)))))</f>
        <v>0</v>
      </c>
      <c r="AK23" s="912">
        <f>IF(AND('Year 1'!$B23=$AD$37),$AE$37,IF(AND('Year 1'!$B23=$AD$38),$AE$38,IF(AND('Year 1'!$B23=$AD$39),$AE$39,IF(AND('Year 1'!$B23=$AD$40),$AE$40,IF(AND('Year 1'!$B23=$AD$41),$AE$41,0)))))</f>
        <v>0</v>
      </c>
      <c r="AL23" s="912">
        <f>IF(AND('Year 1'!$B23=$AD$48),$AE$48,IF(AND('Year 1'!$B23=$AD$49),$AE$49,IF(AND('Year 1'!$B23=$AD$50),$AE$50,IF(AND('Year 1'!$B23=$AD$51),$AE$51,IF(AND('Year 1'!$B23=$AD$52),$AE$52,0)))))</f>
        <v>0</v>
      </c>
      <c r="AM23" s="912">
        <f>IF(AND('Year 1'!$B23=$AD$60),$AE$60,IF(AND('Year 1'!$B23=$AD$61),$AE$61,IF(AND('Year 1'!$B23=$AD$62),$AE$62,IF(AND('Year 1'!$B23=$AD$63),$AE$63,IF(AND('Year 1'!$B23=$AD$64),$AE$64,0)))))</f>
        <v>0</v>
      </c>
      <c r="AN23" s="911"/>
      <c r="AO23" s="911"/>
      <c r="AP23" s="904"/>
      <c r="AQ23" s="904"/>
      <c r="AR23" s="904"/>
      <c r="AS23" s="904"/>
      <c r="AT23" s="904"/>
      <c r="AU23" s="831"/>
      <c r="AV23" s="831"/>
      <c r="AW23" s="831"/>
      <c r="AX23" s="831"/>
      <c r="AY23" s="831"/>
      <c r="AZ23" s="831"/>
      <c r="BA23" s="831"/>
      <c r="BB23" s="828"/>
      <c r="BC23" s="828"/>
      <c r="BD23" s="828"/>
      <c r="BE23" s="962"/>
      <c r="BF23" s="828"/>
      <c r="BG23" s="828"/>
      <c r="BH23" s="828"/>
      <c r="BI23" s="828"/>
      <c r="BJ23" s="828"/>
      <c r="BK23" s="828"/>
      <c r="BL23" s="828"/>
      <c r="BM23" s="828"/>
      <c r="BN23" s="828"/>
    </row>
    <row r="24" spans="2:57" ht="13.5" customHeight="1">
      <c r="B24" s="603"/>
      <c r="C24" s="1022">
        <f>IF(Subcontracts!$F$5=0,"",IF(Subcontracts!$F$5&gt;=2,+'Year 1'!C24:D25,""))</f>
        <v>0</v>
      </c>
      <c r="D24" s="1025"/>
      <c r="E24" s="1048">
        <f>IF(Subcontracts!$F$5=0,"",IF(Subcontracts!$F$5&gt;=2,+'Year 1'!E24:E25,""))</f>
        <v>0</v>
      </c>
      <c r="F24" s="1054">
        <f>IF(Subcontracts!$F$5=0,"",IF(Subcontracts!$F$5&gt;=2,+'Year 1'!F24,""))</f>
        <v>0</v>
      </c>
      <c r="G24" s="1054">
        <f>IF(Subcontracts!$F$5=0,"",IF(Subcontracts!$F$5&gt;=2,+'Year 1'!G24,""))</f>
        <v>0</v>
      </c>
      <c r="H24" s="1004">
        <f>IF(Subcontracts!$F$5=0,"",IF(Subcontracts!$F$5&gt;=2,+'Year 1'!H24,""))</f>
        <v>0</v>
      </c>
      <c r="I24" s="100"/>
      <c r="J24" s="87"/>
      <c r="K24" s="87"/>
      <c r="L24" s="88"/>
      <c r="M24" s="94"/>
      <c r="N24" s="94"/>
      <c r="O24" s="596"/>
      <c r="P24" s="596"/>
      <c r="Q24" s="600"/>
      <c r="R24" s="600"/>
      <c r="S24" s="600"/>
      <c r="T24" s="598"/>
      <c r="AA24" s="831"/>
      <c r="AB24" s="904"/>
      <c r="AC24" s="904"/>
      <c r="AD24" s="912" t="s">
        <v>384</v>
      </c>
      <c r="AE24" s="912" t="s">
        <v>385</v>
      </c>
      <c r="AF24" s="912" t="s">
        <v>386</v>
      </c>
      <c r="AG24" s="912" t="s">
        <v>387</v>
      </c>
      <c r="AH24" s="912" t="s">
        <v>388</v>
      </c>
      <c r="AI24" s="911"/>
      <c r="AJ24" s="912">
        <f>IF(AND('Year 1'!$B24=$AD$25),$AE$25,IF(AND('Year 1'!$B24=$AD$26),$AE$26,IF(AND('Year 1'!$B24=$AD$27),$AE$27,IF(AND('Year 1'!$B24=$AD$28),$AE$28,IF(AND('Year 1'!$B24=$AD$29),$AE$29,0)))))</f>
        <v>0</v>
      </c>
      <c r="AK24" s="912">
        <f>IF(AND('Year 1'!$B24=$AD$37),$AE$37,IF(AND('Year 1'!$B24=$AD$38),$AE$38,IF(AND('Year 1'!$B24=$AD$39),$AE$39,IF(AND('Year 1'!$B24=$AD$40),$AE$40,IF(AND('Year 1'!$B24=$AD$41),$AE$41,0)))))</f>
        <v>0</v>
      </c>
      <c r="AL24" s="912">
        <f>IF(AND('Year 1'!$B24=$AD$48),$AE$48,IF(AND('Year 1'!$B24=$AD$49),$AE$49,IF(AND('Year 1'!$B24=$AD$50),$AE$50,IF(AND('Year 1'!$B24=$AD$51),$AE$51,IF(AND('Year 1'!$B24=$AD$52),$AE$52,0)))))</f>
        <v>0</v>
      </c>
      <c r="AM24" s="912">
        <f>IF(AND('Year 1'!$B24=$AD$60),$AE$60,IF(AND('Year 1'!$B24=$AD$61),$AE$61,IF(AND('Year 1'!$B24=$AD$62),$AE$62,IF(AND('Year 1'!$B24=$AD$63),$AE$63,IF(AND('Year 1'!$B24=$AD$64),$AE$64,0)))))</f>
        <v>0</v>
      </c>
      <c r="AN24" s="911"/>
      <c r="AO24" s="911"/>
      <c r="AP24" s="904"/>
      <c r="AQ24" s="904"/>
      <c r="AR24" s="904"/>
      <c r="AS24" s="904"/>
      <c r="AT24" s="904"/>
      <c r="AU24" s="831"/>
      <c r="AV24" s="831"/>
      <c r="AW24" s="831"/>
      <c r="AX24" s="831"/>
      <c r="AY24" s="831"/>
      <c r="AZ24" s="831"/>
      <c r="BA24" s="831"/>
      <c r="BE24" s="95"/>
    </row>
    <row r="25" spans="2:57" ht="13.5" customHeight="1">
      <c r="B25" s="605">
        <f>IF(AND(Subcontracts!$Z$50=1),AJ25,IF(AND(Subcontracts!$Z$50=2),AK25,IF(AND(Subcontracts!$Z$50=3),AL25,IF(AND(Subcontracts!$Z$50=4),AM25,0))))</f>
        <v>0</v>
      </c>
      <c r="C25" s="1026"/>
      <c r="D25" s="1027"/>
      <c r="E25" s="1049"/>
      <c r="F25" s="1005"/>
      <c r="G25" s="1005"/>
      <c r="H25" s="1005"/>
      <c r="I25" s="90">
        <f>IF(Subcontracts!$F$5&gt;=2,+'Year 1'!I25+('Year 1'!I25*('Year 2'!$D$2/100)),)</f>
        <v>0</v>
      </c>
      <c r="J25" s="91">
        <f>IF(Subcontracts!$F$5&gt;=2,(((I25/12)*F24)+((I25/9)*G24)+((I25/3)*H24)),)</f>
        <v>0</v>
      </c>
      <c r="K25" s="92">
        <f>IF(Subcontracts!F$5&gt;=2,(B25/100)*J25,)</f>
        <v>0</v>
      </c>
      <c r="L25" s="93">
        <f>IF(Subcontracts!F$5&gt;=2,J25+K25,)</f>
        <v>0</v>
      </c>
      <c r="M25" s="94"/>
      <c r="N25" s="94"/>
      <c r="O25" s="596"/>
      <c r="P25" s="596"/>
      <c r="Q25" s="597"/>
      <c r="R25" s="597"/>
      <c r="S25" s="597"/>
      <c r="T25" s="600"/>
      <c r="U25" s="118"/>
      <c r="V25" s="118"/>
      <c r="W25" s="118"/>
      <c r="X25" s="118"/>
      <c r="AA25" s="831"/>
      <c r="AB25" s="905" t="s">
        <v>258</v>
      </c>
      <c r="AC25" s="904"/>
      <c r="AD25" s="912">
        <f>+AK2</f>
        <v>45.5</v>
      </c>
      <c r="AE25" s="912">
        <f aca="true" t="shared" si="0" ref="AE25:AH29">+AL2</f>
        <v>46.5</v>
      </c>
      <c r="AF25" s="912">
        <f t="shared" si="0"/>
        <v>47.5</v>
      </c>
      <c r="AG25" s="912">
        <f t="shared" si="0"/>
        <v>49</v>
      </c>
      <c r="AH25" s="912">
        <f t="shared" si="0"/>
        <v>49</v>
      </c>
      <c r="AI25" s="911"/>
      <c r="AJ25" s="912">
        <f>IF(AND('Year 1'!$B25=$AD$25),$AE$25,IF(AND('Year 1'!$B25=$AD$26),$AE$26,IF(AND('Year 1'!$B25=$AD$27),$AE$27,IF(AND('Year 1'!$B25=$AD$28),$AE$28,IF(AND('Year 1'!$B25=$AD$29),$AE$29,0)))))</f>
        <v>0</v>
      </c>
      <c r="AK25" s="912">
        <f>IF(AND('Year 1'!$B25=$AD$37),$AE$37,IF(AND('Year 1'!$B25=$AD$38),$AE$38,IF(AND('Year 1'!$B25=$AD$39),$AE$39,IF(AND('Year 1'!$B25=$AD$40),$AE$40,IF(AND('Year 1'!$B25=$AD$41),$AE$41,0)))))</f>
        <v>0</v>
      </c>
      <c r="AL25" s="912">
        <f>IF(AND('Year 1'!$B25=$AD$48),$AE$48,IF(AND('Year 1'!$B25=$AD$49),$AE$49,IF(AND('Year 1'!$B25=$AD$50),$AE$50,IF(AND('Year 1'!$B25=$AD$51),$AE$51,IF(AND('Year 1'!$B25=$AD$52),$AE$52,0)))))</f>
        <v>0</v>
      </c>
      <c r="AM25" s="912">
        <f>IF(AND('Year 1'!$B25=$AD$60),$AE$60,IF(AND('Year 1'!$B25=$AD$61),$AE$61,IF(AND('Year 1'!$B25=$AD$62),$AE$62,IF(AND('Year 1'!$B25=$AD$63),$AE$63,IF(AND('Year 1'!$B25=$AD$64),$AE$64,0)))))</f>
        <v>0</v>
      </c>
      <c r="AN25" s="911"/>
      <c r="AO25" s="911"/>
      <c r="AP25" s="904"/>
      <c r="AQ25" s="904"/>
      <c r="AR25" s="904"/>
      <c r="AS25" s="904"/>
      <c r="AT25" s="904"/>
      <c r="AU25" s="831"/>
      <c r="AV25" s="831"/>
      <c r="AW25" s="831"/>
      <c r="AX25" s="831"/>
      <c r="AY25" s="831"/>
      <c r="AZ25" s="831"/>
      <c r="BA25" s="831"/>
      <c r="BE25" s="95"/>
    </row>
    <row r="26" spans="2:57" ht="13.5" customHeight="1">
      <c r="B26" s="603"/>
      <c r="C26" s="1022">
        <f>IF(Subcontracts!$F$5=0,"",IF(Subcontracts!$F$5&gt;=2,+'Year 1'!C26:D27,""))</f>
        <v>0</v>
      </c>
      <c r="D26" s="1023"/>
      <c r="E26" s="1048">
        <f>IF(Subcontracts!$F$5=0,"",IF(Subcontracts!$F$5&gt;=2,+'Year 1'!E26:E27,""))</f>
        <v>0</v>
      </c>
      <c r="F26" s="1054">
        <f>IF(Subcontracts!$F$5=0,"",IF(Subcontracts!$F$5&gt;=2,+'Year 1'!F26,""))</f>
        <v>0</v>
      </c>
      <c r="G26" s="1054">
        <f>IF(Subcontracts!$F$5=0,"",IF(Subcontracts!$F$5&gt;=2,+'Year 1'!G26,""))</f>
        <v>0</v>
      </c>
      <c r="H26" s="1004">
        <f>IF(Subcontracts!$F$5=0,"",IF(Subcontracts!$F$5&gt;=2,+'Year 1'!H26,""))</f>
        <v>0</v>
      </c>
      <c r="I26" s="97"/>
      <c r="J26" s="87"/>
      <c r="K26" s="87"/>
      <c r="L26" s="88"/>
      <c r="M26" s="94"/>
      <c r="N26" s="94"/>
      <c r="O26" s="596"/>
      <c r="P26" s="596"/>
      <c r="Q26" s="600"/>
      <c r="R26" s="600"/>
      <c r="S26" s="600"/>
      <c r="T26" s="597"/>
      <c r="U26" s="589"/>
      <c r="V26" s="589"/>
      <c r="W26" s="589"/>
      <c r="X26" s="589"/>
      <c r="AA26" s="831"/>
      <c r="AB26" s="905" t="s">
        <v>259</v>
      </c>
      <c r="AC26" s="904"/>
      <c r="AD26" s="912">
        <f>+AK3</f>
        <v>14</v>
      </c>
      <c r="AE26" s="912">
        <f t="shared" si="0"/>
        <v>14</v>
      </c>
      <c r="AF26" s="912">
        <f t="shared" si="0"/>
        <v>15</v>
      </c>
      <c r="AG26" s="912">
        <f t="shared" si="0"/>
        <v>15</v>
      </c>
      <c r="AH26" s="912">
        <f t="shared" si="0"/>
        <v>15</v>
      </c>
      <c r="AI26" s="911"/>
      <c r="AJ26" s="912">
        <f>IF(AND('Year 1'!$B26=$AD$25),$AE$25,IF(AND('Year 1'!$B26=$AD$26),$AE$26,IF(AND('Year 1'!$B26=$AD$27),$AE$27,IF(AND('Year 1'!$B26=$AD$28),$AE$28,IF(AND('Year 1'!$B26=$AD$29),$AE$29,0)))))</f>
        <v>0</v>
      </c>
      <c r="AK26" s="912">
        <f>IF(AND('Year 1'!$B26=$AD$37),$AE$37,IF(AND('Year 1'!$B26=$AD$38),$AE$38,IF(AND('Year 1'!$B26=$AD$39),$AE$39,IF(AND('Year 1'!$B26=$AD$40),$AE$40,IF(AND('Year 1'!$B26=$AD$41),$AE$41,0)))))</f>
        <v>0</v>
      </c>
      <c r="AL26" s="912">
        <f>IF(AND('Year 1'!$B26=$AD$48),$AE$48,IF(AND('Year 1'!$B26=$AD$49),$AE$49,IF(AND('Year 1'!$B26=$AD$50),$AE$50,IF(AND('Year 1'!$B26=$AD$51),$AE$51,IF(AND('Year 1'!$B26=$AD$52),$AE$52,0)))))</f>
        <v>0</v>
      </c>
      <c r="AM26" s="912">
        <f>IF(AND('Year 1'!$B26=$AD$60),$AE$60,IF(AND('Year 1'!$B26=$AD$61),$AE$61,IF(AND('Year 1'!$B26=$AD$62),$AE$62,IF(AND('Year 1'!$B26=$AD$63),$AE$63,IF(AND('Year 1'!$B26=$AD$64),$AE$64,0)))))</f>
        <v>0</v>
      </c>
      <c r="AN26" s="911"/>
      <c r="AO26" s="911"/>
      <c r="AP26" s="904"/>
      <c r="AQ26" s="904"/>
      <c r="AR26" s="904"/>
      <c r="AS26" s="904"/>
      <c r="AT26" s="904"/>
      <c r="AU26" s="831"/>
      <c r="AV26" s="831"/>
      <c r="AW26" s="831"/>
      <c r="AX26" s="831"/>
      <c r="AY26" s="831"/>
      <c r="AZ26" s="831"/>
      <c r="BA26" s="831"/>
      <c r="BE26" s="95"/>
    </row>
    <row r="27" spans="2:57" ht="13.5" customHeight="1">
      <c r="B27" s="605">
        <f>IF(AND(Subcontracts!$Z$50=1),AJ27,IF(AND(Subcontracts!$Z$50=2),AK27,IF(AND(Subcontracts!$Z$50=3),AL27,IF(AND(Subcontracts!$Z$50=4),AM27,0))))</f>
        <v>0</v>
      </c>
      <c r="C27" s="1024"/>
      <c r="D27" s="1024"/>
      <c r="E27" s="1047"/>
      <c r="F27" s="1005"/>
      <c r="G27" s="1005"/>
      <c r="H27" s="1005"/>
      <c r="I27" s="90">
        <f>IF(Subcontracts!$F$5&gt;=2,+'Year 1'!I27+('Year 1'!I27*('Year 2'!$D$2/100)),)</f>
        <v>0</v>
      </c>
      <c r="J27" s="91">
        <f>IF(Subcontracts!$F$5&gt;=2,(((I27/12)*F26)+((I27/9)*G26)+((I27/3)*H26)),)</f>
        <v>0</v>
      </c>
      <c r="K27" s="92">
        <f>IF(Subcontracts!F$5&gt;=2,(B27/100)*J27,)</f>
        <v>0</v>
      </c>
      <c r="L27" s="93">
        <f>IF(Subcontracts!F$5&gt;=2,J27+K27,)</f>
        <v>0</v>
      </c>
      <c r="M27" s="94"/>
      <c r="N27" s="94"/>
      <c r="O27" s="596"/>
      <c r="P27" s="596"/>
      <c r="Q27" s="597"/>
      <c r="R27" s="597"/>
      <c r="S27" s="597"/>
      <c r="T27" s="597"/>
      <c r="U27" s="589"/>
      <c r="V27" s="589"/>
      <c r="W27" s="589"/>
      <c r="X27" s="589"/>
      <c r="AA27" s="831"/>
      <c r="AB27" s="905" t="s">
        <v>260</v>
      </c>
      <c r="AC27" s="904"/>
      <c r="AD27" s="912">
        <f>+AK4</f>
        <v>14</v>
      </c>
      <c r="AE27" s="912">
        <f t="shared" si="0"/>
        <v>15</v>
      </c>
      <c r="AF27" s="912">
        <f t="shared" si="0"/>
        <v>16</v>
      </c>
      <c r="AG27" s="912">
        <f t="shared" si="0"/>
        <v>17</v>
      </c>
      <c r="AH27" s="912">
        <f t="shared" si="0"/>
        <v>17</v>
      </c>
      <c r="AI27" s="911"/>
      <c r="AJ27" s="912">
        <f>IF(AND('Year 1'!$B27=$AD$25),$AE$25,IF(AND('Year 1'!$B27=$AD$26),$AE$26,IF(AND('Year 1'!$B27=$AD$27),$AE$27,IF(AND('Year 1'!$B27=$AD$28),$AE$28,IF(AND('Year 1'!$B27=$AD$29),$AE$29,0)))))</f>
        <v>0</v>
      </c>
      <c r="AK27" s="912">
        <f>IF(AND('Year 1'!$B27=$AD$37),$AE$37,IF(AND('Year 1'!$B27=$AD$38),$AE$38,IF(AND('Year 1'!$B27=$AD$39),$AE$39,IF(AND('Year 1'!$B27=$AD$40),$AE$40,IF(AND('Year 1'!$B27=$AD$41),$AE$41,0)))))</f>
        <v>0</v>
      </c>
      <c r="AL27" s="912">
        <f>IF(AND('Year 1'!$B27=$AD$48),$AE$48,IF(AND('Year 1'!$B27=$AD$49),$AE$49,IF(AND('Year 1'!$B27=$AD$50),$AE$50,IF(AND('Year 1'!$B27=$AD$51),$AE$51,IF(AND('Year 1'!$B27=$AD$52),$AE$52,0)))))</f>
        <v>0</v>
      </c>
      <c r="AM27" s="912">
        <f>IF(AND('Year 1'!$B27=$AD$60),$AE$60,IF(AND('Year 1'!$B27=$AD$61),$AE$61,IF(AND('Year 1'!$B27=$AD$62),$AE$62,IF(AND('Year 1'!$B27=$AD$63),$AE$63,IF(AND('Year 1'!$B27=$AD$64),$AE$64,0)))))</f>
        <v>0</v>
      </c>
      <c r="AN27" s="911"/>
      <c r="AO27" s="911"/>
      <c r="AP27" s="904"/>
      <c r="AQ27" s="904"/>
      <c r="AR27" s="904"/>
      <c r="AS27" s="904"/>
      <c r="AT27" s="904"/>
      <c r="AU27" s="831"/>
      <c r="AV27" s="831"/>
      <c r="AW27" s="831"/>
      <c r="AX27" s="831"/>
      <c r="AY27" s="831"/>
      <c r="AZ27" s="831"/>
      <c r="BA27" s="831"/>
      <c r="BE27" s="95"/>
    </row>
    <row r="28" spans="2:57" ht="13.5" customHeight="1">
      <c r="B28" s="603"/>
      <c r="C28" s="1022">
        <f>IF(Subcontracts!$F$5=0,"",IF(Subcontracts!$F$5&gt;=2,+'Year 1'!C28:D29,""))</f>
        <v>0</v>
      </c>
      <c r="D28" s="1025"/>
      <c r="E28" s="1042">
        <f>IF(Subcontracts!$F$5=0,"",IF(Subcontracts!$F$5&gt;=2,+'Year 1'!E28:E29,""))</f>
        <v>0</v>
      </c>
      <c r="F28" s="1054">
        <f>IF(Subcontracts!$F$5=0,"",IF(Subcontracts!$F$5&gt;=2,+'Year 1'!F28,""))</f>
        <v>0</v>
      </c>
      <c r="G28" s="1054">
        <f>IF(Subcontracts!$F$5=0,"",IF(Subcontracts!$F$5&gt;=2,+'Year 1'!G28,""))</f>
        <v>0</v>
      </c>
      <c r="H28" s="1004">
        <f>IF(Subcontracts!$F$5=0,"",IF(Subcontracts!$F$5&gt;=2,+'Year 1'!H28,""))</f>
        <v>0</v>
      </c>
      <c r="I28" s="97"/>
      <c r="J28" s="87"/>
      <c r="K28" s="87"/>
      <c r="L28" s="88"/>
      <c r="M28" s="94"/>
      <c r="N28" s="94"/>
      <c r="O28" s="596"/>
      <c r="P28" s="596"/>
      <c r="Q28" s="600"/>
      <c r="R28" s="600"/>
      <c r="S28" s="600"/>
      <c r="T28" s="597"/>
      <c r="U28" s="589"/>
      <c r="V28" s="589"/>
      <c r="W28" s="589"/>
      <c r="X28" s="589"/>
      <c r="AA28" s="831"/>
      <c r="AB28" s="905" t="s">
        <v>261</v>
      </c>
      <c r="AC28" s="904"/>
      <c r="AD28" s="912">
        <f>+AK5</f>
        <v>5</v>
      </c>
      <c r="AE28" s="912">
        <f t="shared" si="0"/>
        <v>5</v>
      </c>
      <c r="AF28" s="912">
        <f t="shared" si="0"/>
        <v>5</v>
      </c>
      <c r="AG28" s="912">
        <f t="shared" si="0"/>
        <v>5</v>
      </c>
      <c r="AH28" s="912">
        <f t="shared" si="0"/>
        <v>5</v>
      </c>
      <c r="AI28" s="911"/>
      <c r="AJ28" s="912">
        <f>IF(AND('Year 1'!$B28=$AD$25),$AE$25,IF(AND('Year 1'!$B28=$AD$26),$AE$26,IF(AND('Year 1'!$B28=$AD$27),$AE$27,IF(AND('Year 1'!$B28=$AD$28),$AE$28,IF(AND('Year 1'!$B28=$AD$29),$AE$29,0)))))</f>
        <v>0</v>
      </c>
      <c r="AK28" s="912">
        <f>IF(AND('Year 1'!$B28=$AD$37),$AE$37,IF(AND('Year 1'!$B28=$AD$38),$AE$38,IF(AND('Year 1'!$B28=$AD$39),$AE$39,IF(AND('Year 1'!$B28=$AD$40),$AE$40,IF(AND('Year 1'!$B28=$AD$41),$AE$41,0)))))</f>
        <v>0</v>
      </c>
      <c r="AL28" s="912">
        <f>IF(AND('Year 1'!$B28=$AD$48),$AE$48,IF(AND('Year 1'!$B28=$AD$49),$AE$49,IF(AND('Year 1'!$B28=$AD$50),$AE$50,IF(AND('Year 1'!$B28=$AD$51),$AE$51,IF(AND('Year 1'!$B28=$AD$52),$AE$52,0)))))</f>
        <v>0</v>
      </c>
      <c r="AM28" s="912">
        <f>IF(AND('Year 1'!$B28=$AD$60),$AE$60,IF(AND('Year 1'!$B28=$AD$61),$AE$61,IF(AND('Year 1'!$B28=$AD$62),$AE$62,IF(AND('Year 1'!$B28=$AD$63),$AE$63,IF(AND('Year 1'!$B28=$AD$64),$AE$64,0)))))</f>
        <v>0</v>
      </c>
      <c r="AN28" s="911"/>
      <c r="AO28" s="911"/>
      <c r="AP28" s="904"/>
      <c r="AQ28" s="904"/>
      <c r="AR28" s="904"/>
      <c r="AS28" s="904"/>
      <c r="AT28" s="904"/>
      <c r="AU28" s="831"/>
      <c r="AV28" s="831"/>
      <c r="AW28" s="831"/>
      <c r="AX28" s="831"/>
      <c r="AY28" s="831"/>
      <c r="AZ28" s="831"/>
      <c r="BA28" s="831"/>
      <c r="BE28" s="95"/>
    </row>
    <row r="29" spans="2:57" ht="13.5" customHeight="1">
      <c r="B29" s="605">
        <f>IF(AND(Subcontracts!$Z$50=1),AJ29,IF(AND(Subcontracts!$Z$50=2),AK29,IF(AND(Subcontracts!$Z$50=3),AL29,IF(AND(Subcontracts!$Z$50=4),AM29,0))))</f>
        <v>0</v>
      </c>
      <c r="C29" s="1026"/>
      <c r="D29" s="1027"/>
      <c r="E29" s="1043"/>
      <c r="F29" s="1005"/>
      <c r="G29" s="1005"/>
      <c r="H29" s="1005"/>
      <c r="I29" s="90">
        <f>IF(Subcontracts!$F$5&gt;=2,+'Year 1'!I29+('Year 1'!I29*('Year 2'!$D$2/100)),)</f>
        <v>0</v>
      </c>
      <c r="J29" s="91">
        <f>IF(Subcontracts!$F$5&gt;=2,(((I29/12)*F28)+((I29/9)*G28)+((I29/3)*H28)),)</f>
        <v>0</v>
      </c>
      <c r="K29" s="92">
        <f>IF(Subcontracts!F$5&gt;=2,(B29/100)*J29,)</f>
        <v>0</v>
      </c>
      <c r="L29" s="93">
        <f>IF(Subcontracts!F$5&gt;=2,J29+K29,)</f>
        <v>0</v>
      </c>
      <c r="M29" s="94"/>
      <c r="N29" s="94"/>
      <c r="O29" s="596"/>
      <c r="P29" s="596"/>
      <c r="Q29" s="597"/>
      <c r="R29" s="597"/>
      <c r="S29" s="597"/>
      <c r="T29" s="597"/>
      <c r="U29" s="589"/>
      <c r="V29" s="589"/>
      <c r="W29" s="589"/>
      <c r="X29" s="589"/>
      <c r="AA29" s="831"/>
      <c r="AB29" s="905" t="s">
        <v>257</v>
      </c>
      <c r="AC29" s="904"/>
      <c r="AD29" s="912">
        <f>+AK6</f>
        <v>54.61</v>
      </c>
      <c r="AE29" s="912">
        <f t="shared" si="0"/>
        <v>57.75</v>
      </c>
      <c r="AF29" s="912">
        <f t="shared" si="0"/>
        <v>59.38</v>
      </c>
      <c r="AG29" s="912">
        <f t="shared" si="0"/>
        <v>61.645</v>
      </c>
      <c r="AH29" s="912">
        <f t="shared" si="0"/>
        <v>64.05</v>
      </c>
      <c r="AI29" s="911"/>
      <c r="AJ29" s="912">
        <f>IF(AND('Year 1'!$B29=$AD$25),$AE$25,IF(AND('Year 1'!$B29=$AD$26),$AE$26,IF(AND('Year 1'!$B29=$AD$27),$AE$27,IF(AND('Year 1'!$B29=$AD$28),$AE$28,IF(AND('Year 1'!$B29=$AD$29),$AE$29,0)))))</f>
        <v>0</v>
      </c>
      <c r="AK29" s="912">
        <f>IF(AND('Year 1'!$B29=$AD$37),$AE$37,IF(AND('Year 1'!$B29=$AD$38),$AE$38,IF(AND('Year 1'!$B29=$AD$39),$AE$39,IF(AND('Year 1'!$B29=$AD$40),$AE$40,IF(AND('Year 1'!$B29=$AD$41),$AE$41,0)))))</f>
        <v>0</v>
      </c>
      <c r="AL29" s="912">
        <f>IF(AND('Year 1'!$B29=$AD$48),$AE$48,IF(AND('Year 1'!$B29=$AD$49),$AE$49,IF(AND('Year 1'!$B29=$AD$50),$AE$50,IF(AND('Year 1'!$B29=$AD$51),$AE$51,IF(AND('Year 1'!$B29=$AD$52),$AE$52,0)))))</f>
        <v>0</v>
      </c>
      <c r="AM29" s="988">
        <f>IF(AND('Year 1'!$B29=$AD$60),$AE$60,IF(AND('Year 1'!$B29=$AD$61),$AE$61,IF(AND('Year 1'!$B29=$AD$62),$AE$62,IF(AND('Year 1'!$B29=$AD$63),$AE$63,IF(AND('Year 1'!$B29=$AD$64),$AE$64,0)))))</f>
        <v>0</v>
      </c>
      <c r="AN29" s="987"/>
      <c r="AO29" s="911"/>
      <c r="AP29" s="904"/>
      <c r="AQ29" s="904"/>
      <c r="AR29" s="904"/>
      <c r="AS29" s="904"/>
      <c r="AT29" s="904"/>
      <c r="AU29" s="831"/>
      <c r="AV29" s="831"/>
      <c r="AW29" s="831"/>
      <c r="AX29" s="831"/>
      <c r="AY29" s="831"/>
      <c r="AZ29" s="831"/>
      <c r="BA29" s="831"/>
      <c r="BE29" s="95"/>
    </row>
    <row r="30" spans="2:57" ht="13.5" customHeight="1">
      <c r="B30" s="603"/>
      <c r="C30" s="1028">
        <f>IF(Subcontracts!$F$5=0,"",IF(Subcontracts!$F$5&gt;=2,+'Year 1'!C30:D31,""))</f>
        <v>0</v>
      </c>
      <c r="D30" s="1029"/>
      <c r="E30" s="1044">
        <f>IF(Subcontracts!$F$5=0,"",IF(Subcontracts!$F$5&gt;=2,+'Year 1'!E30:E31,""))</f>
        <v>0</v>
      </c>
      <c r="F30" s="1054">
        <f>IF(Subcontracts!$F$5=0,"",IF(Subcontracts!$F$5&gt;=2,+'Year 1'!F30,""))</f>
        <v>0</v>
      </c>
      <c r="G30" s="1054">
        <f>IF(Subcontracts!$F$5=0,"",IF(Subcontracts!$F$5&gt;=2,+'Year 1'!G30,""))</f>
        <v>0</v>
      </c>
      <c r="H30" s="1004">
        <f>IF(Subcontracts!$F$5=0,"",IF(Subcontracts!$F$5&gt;=2,+'Year 1'!H30,""))</f>
        <v>0</v>
      </c>
      <c r="I30" s="97"/>
      <c r="J30" s="87"/>
      <c r="K30" s="87"/>
      <c r="L30" s="88"/>
      <c r="M30" s="94"/>
      <c r="N30" s="94"/>
      <c r="O30" s="596"/>
      <c r="P30" s="596"/>
      <c r="Q30" s="600"/>
      <c r="R30" s="600"/>
      <c r="S30" s="600"/>
      <c r="T30" s="597"/>
      <c r="U30" s="589"/>
      <c r="V30" s="589"/>
      <c r="W30" s="589"/>
      <c r="X30" s="589"/>
      <c r="AA30" s="831"/>
      <c r="AB30" s="905" t="s">
        <v>262</v>
      </c>
      <c r="AC30" s="904"/>
      <c r="AD30" s="912">
        <f>+AJ8</f>
        <v>59.5</v>
      </c>
      <c r="AE30" s="912">
        <f>+AK8</f>
        <v>59.5</v>
      </c>
      <c r="AF30" s="912">
        <f>+AL8</f>
        <v>59.5</v>
      </c>
      <c r="AG30" s="912">
        <f>+AM8</f>
        <v>59.5</v>
      </c>
      <c r="AH30" s="912">
        <f>+AN8</f>
        <v>59.5</v>
      </c>
      <c r="AI30" s="911"/>
      <c r="AJ30" s="912">
        <f>IF(AND('Year 1'!$B30=$AD$25),$AE$25,IF(AND('Year 1'!$B30=$AD$26),$AE$26,IF(AND('Year 1'!$B30=$AD$27),$AE$27,IF(AND('Year 1'!$B30=$AD$28),$AE$28,IF(AND('Year 1'!$B30=$AD$29),$AE$29,0)))))</f>
        <v>0</v>
      </c>
      <c r="AK30" s="912">
        <f>IF(AND('Year 1'!$B30=$AD$37),$AE$37,IF(AND('Year 1'!$B30=$AD$38),$AE$38,IF(AND('Year 1'!$B30=$AD$39),$AE$39,IF(AND('Year 1'!$B30=$AD$40),$AE$40,IF(AND('Year 1'!$B30=$AD$41),$AE$41,0)))))</f>
        <v>0</v>
      </c>
      <c r="AL30" s="912">
        <f>IF(AND('Year 1'!$B30=$AD$48),$AE$48,IF(AND('Year 1'!$B30=$AD$49),$AE$49,IF(AND('Year 1'!$B30=$AD$50),$AE$50,IF(AND('Year 1'!$B30=$AD$51),$AE$51,IF(AND('Year 1'!$B30=$AD$52),$AE$52,0)))))</f>
        <v>0</v>
      </c>
      <c r="AM30" s="988">
        <f>IF(AND('Year 1'!$B30=$AD$60),$AE$60,IF(AND('Year 1'!$B30=$AD$61),$AE$61,IF(AND('Year 1'!$B30=$AD$62),$AE$62,IF(AND('Year 1'!$B30=$AD$63),$AE$63,IF(AND('Year 1'!$B30=$AD$64),$AE$64,0)))))</f>
        <v>0</v>
      </c>
      <c r="AN30" s="987"/>
      <c r="AO30" s="911"/>
      <c r="AP30" s="904"/>
      <c r="AQ30" s="904"/>
      <c r="AR30" s="904"/>
      <c r="AS30" s="904"/>
      <c r="AT30" s="904"/>
      <c r="AU30" s="831"/>
      <c r="AV30" s="831"/>
      <c r="AW30" s="831"/>
      <c r="AX30" s="831"/>
      <c r="AY30" s="831"/>
      <c r="AZ30" s="831"/>
      <c r="BA30" s="831"/>
      <c r="BE30" s="95"/>
    </row>
    <row r="31" spans="2:57" ht="13.5" customHeight="1">
      <c r="B31" s="605">
        <f>IF(AND(Subcontracts!$Z$50=1),AJ31,IF(AND(Subcontracts!$Z$50=2),AK31,IF(AND(Subcontracts!$Z$50=3),AL31,IF(AND(Subcontracts!$Z$50=4),AM31,0))))</f>
        <v>0</v>
      </c>
      <c r="C31" s="1020"/>
      <c r="D31" s="1021"/>
      <c r="E31" s="1041"/>
      <c r="F31" s="1005"/>
      <c r="G31" s="1005"/>
      <c r="H31" s="1005"/>
      <c r="I31" s="99">
        <f>IF(Subcontracts!$F$5&gt;=2,+'Year 1'!I31+('Year 1'!I31*('Year 2'!$D$2/100)),)</f>
        <v>0</v>
      </c>
      <c r="J31" s="91">
        <f>IF(Subcontracts!$F$5&gt;=2,(((I31/12)*F30)+((I31/9)*G30)+((I31/3)*H30)),)</f>
        <v>0</v>
      </c>
      <c r="K31" s="92">
        <f>IF(Subcontracts!F$5&gt;=2,(B31/100)*J31,)</f>
        <v>0</v>
      </c>
      <c r="L31" s="93">
        <f>IF(Subcontracts!F$5&gt;=2,J31+K31,)</f>
        <v>0</v>
      </c>
      <c r="M31" s="94"/>
      <c r="N31" s="94"/>
      <c r="O31" s="596"/>
      <c r="P31" s="596"/>
      <c r="Q31" s="597"/>
      <c r="R31" s="597"/>
      <c r="S31" s="597"/>
      <c r="T31" s="597"/>
      <c r="U31" s="589"/>
      <c r="V31" s="589"/>
      <c r="W31" s="589"/>
      <c r="X31" s="589"/>
      <c r="AA31" s="831"/>
      <c r="AB31" s="904"/>
      <c r="AC31" s="904"/>
      <c r="AD31" s="911"/>
      <c r="AE31" s="911"/>
      <c r="AF31" s="911"/>
      <c r="AG31" s="911"/>
      <c r="AH31" s="911"/>
      <c r="AI31" s="911"/>
      <c r="AJ31" s="912">
        <f>IF(AND('Year 1'!$B31=$AD$25),$AE$25,IF(AND('Year 1'!$B31=$AD$26),$AE$26,IF(AND('Year 1'!$B31=$AD$27),$AE$27,IF(AND('Year 1'!$B31=$AD$28),$AE$28,IF(AND('Year 1'!$B31=$AD$29),$AE$29,0)))))</f>
        <v>0</v>
      </c>
      <c r="AK31" s="912">
        <f>IF(AND('Year 1'!$B31=$AD$37),$AE$37,IF(AND('Year 1'!$B31=$AD$38),$AE$38,IF(AND('Year 1'!$B31=$AD$39),$AE$39,IF(AND('Year 1'!$B31=$AD$40),$AE$40,IF(AND('Year 1'!$B31=$AD$41),$AE$41,0)))))</f>
        <v>0</v>
      </c>
      <c r="AL31" s="912">
        <f>IF(AND('Year 1'!$B31=$AD$48),$AE$48,IF(AND('Year 1'!$B31=$AD$49),$AE$49,IF(AND('Year 1'!$B31=$AD$50),$AE$50,IF(AND('Year 1'!$B31=$AD$51),$AE$51,IF(AND('Year 1'!$B31=$AD$52),$AE$52,0)))))</f>
        <v>0</v>
      </c>
      <c r="AM31" s="988">
        <f>IF(AND('Year 1'!$B31=$AD$60),$AE$60,IF(AND('Year 1'!$B31=$AD$61),$AE$61,IF(AND('Year 1'!$B31=$AD$62),$AE$62,IF(AND('Year 1'!$B31=$AD$63),$AE$63,IF(AND('Year 1'!$B31=$AD$64),$AE$64,0)))))</f>
        <v>0</v>
      </c>
      <c r="AN31" s="987"/>
      <c r="AO31" s="911"/>
      <c r="AP31" s="904"/>
      <c r="AQ31" s="904"/>
      <c r="AR31" s="904"/>
      <c r="AS31" s="904"/>
      <c r="AT31" s="904"/>
      <c r="AU31" s="831"/>
      <c r="AV31" s="831"/>
      <c r="AW31" s="831"/>
      <c r="AX31" s="831"/>
      <c r="AY31" s="831"/>
      <c r="AZ31" s="831"/>
      <c r="BA31" s="831"/>
      <c r="BE31" s="95"/>
    </row>
    <row r="32" spans="2:57" ht="13.5" customHeight="1">
      <c r="B32" s="603"/>
      <c r="C32" s="1018">
        <f>IF(Subcontracts!$F$5=0,"",IF(Subcontracts!$F$5&gt;=2,+'Year 1'!C32:D33,""))</f>
        <v>0</v>
      </c>
      <c r="D32" s="1019"/>
      <c r="E32" s="1040">
        <f>IF(Subcontracts!$F$5=0,"",IF(Subcontracts!$F$5&gt;=2,+'Year 1'!E32:E33,""))</f>
        <v>0</v>
      </c>
      <c r="F32" s="1054">
        <f>IF(Subcontracts!$F$5=0,"",IF(Subcontracts!$F$5&gt;=2,+'Year 1'!F32,""))</f>
        <v>0</v>
      </c>
      <c r="G32" s="1054">
        <f>IF(Subcontracts!$F$5=0,"",IF(Subcontracts!$F$5&gt;=2,+'Year 1'!G32,""))</f>
        <v>0</v>
      </c>
      <c r="H32" s="1004">
        <f>IF(Subcontracts!$F$5=0,"",IF(Subcontracts!$F$5&gt;=2,+'Year 1'!H32,""))</f>
        <v>0</v>
      </c>
      <c r="I32" s="100"/>
      <c r="J32" s="87"/>
      <c r="K32" s="87"/>
      <c r="L32" s="88"/>
      <c r="M32" s="94"/>
      <c r="N32" s="94"/>
      <c r="O32" s="596"/>
      <c r="P32" s="596"/>
      <c r="Q32" s="600"/>
      <c r="R32" s="600"/>
      <c r="S32" s="600"/>
      <c r="T32" s="597"/>
      <c r="U32" s="589"/>
      <c r="V32" s="589"/>
      <c r="W32" s="589"/>
      <c r="X32" s="589"/>
      <c r="AA32" s="831"/>
      <c r="AB32" s="905"/>
      <c r="AC32" s="904"/>
      <c r="AD32" s="911"/>
      <c r="AE32" s="911"/>
      <c r="AF32" s="911"/>
      <c r="AG32" s="911"/>
      <c r="AH32" s="911"/>
      <c r="AI32" s="911"/>
      <c r="AJ32" s="912">
        <f>IF(AND('Year 1'!$B32=$AD$25),$AE$25,IF(AND('Year 1'!$B32=$AD$26),$AE$26,IF(AND('Year 1'!$B32=$AD$27),$AE$27,IF(AND('Year 1'!$B32=$AD$28),$AE$28,IF(AND('Year 1'!$B32=$AD$29),$AE$29,0)))))</f>
        <v>0</v>
      </c>
      <c r="AK32" s="912">
        <f>IF(AND('Year 1'!$B32=$AD$37),$AE$37,IF(AND('Year 1'!$B32=$AD$38),$AE$38,IF(AND('Year 1'!$B32=$AD$39),$AE$39,IF(AND('Year 1'!$B32=$AD$40),$AE$40,IF(AND('Year 1'!$B32=$AD$41),$AE$41,0)))))</f>
        <v>0</v>
      </c>
      <c r="AL32" s="912">
        <f>IF(AND('Year 1'!$B32=$AD$48),$AE$48,IF(AND('Year 1'!$B32=$AD$49),$AE$49,IF(AND('Year 1'!$B32=$AD$50),$AE$50,IF(AND('Year 1'!$B32=$AD$51),$AE$51,IF(AND('Year 1'!$B32=$AD$52),$AE$52,0)))))</f>
        <v>0</v>
      </c>
      <c r="AM32" s="988">
        <f>IF(AND('Year 1'!$B32=$AD$60),$AE$60,IF(AND('Year 1'!$B32=$AD$61),$AE$61,IF(AND('Year 1'!$B32=$AD$62),$AE$62,IF(AND('Year 1'!$B32=$AD$63),$AE$63,IF(AND('Year 1'!$B32=$AD$64),$AE$64,0)))))</f>
        <v>0</v>
      </c>
      <c r="AN32" s="987"/>
      <c r="AO32" s="911"/>
      <c r="AP32" s="904"/>
      <c r="AQ32" s="904"/>
      <c r="AR32" s="904"/>
      <c r="AS32" s="904"/>
      <c r="AT32" s="904"/>
      <c r="AU32" s="831"/>
      <c r="AV32" s="831"/>
      <c r="AW32" s="831"/>
      <c r="AX32" s="831"/>
      <c r="AY32" s="831"/>
      <c r="AZ32" s="831"/>
      <c r="BA32" s="831"/>
      <c r="BE32" s="95"/>
    </row>
    <row r="33" spans="2:57" ht="13.5" customHeight="1">
      <c r="B33" s="605">
        <f>IF(AND(Subcontracts!$Z$50=1),AJ33,IF(AND(Subcontracts!$Z$50=2),AK33,IF(AND(Subcontracts!$Z$50=3),AL33,IF(AND(Subcontracts!$Z$50=4),AM33,0))))</f>
        <v>0</v>
      </c>
      <c r="C33" s="1020"/>
      <c r="D33" s="1021"/>
      <c r="E33" s="1041"/>
      <c r="F33" s="1005"/>
      <c r="G33" s="1005"/>
      <c r="H33" s="1005"/>
      <c r="I33" s="90">
        <f>IF(Subcontracts!$F$5&gt;=2,+'Year 1'!I33+('Year 1'!I33*('Year 2'!$D$2/100)),)</f>
        <v>0</v>
      </c>
      <c r="J33" s="91">
        <f>IF(Subcontracts!$F$5&gt;=2,(((I33/12)*F32)+((I33/9)*G32)+((I33/3)*H32)),)</f>
        <v>0</v>
      </c>
      <c r="K33" s="92">
        <f>IF(Subcontracts!F$5&gt;=2,(B33/100)*J33,)</f>
        <v>0</v>
      </c>
      <c r="L33" s="93">
        <f>IF(Subcontracts!F$5&gt;=2,J33+K33,)</f>
        <v>0</v>
      </c>
      <c r="M33" s="94"/>
      <c r="N33" s="94"/>
      <c r="O33" s="596"/>
      <c r="P33" s="596"/>
      <c r="Q33" s="597"/>
      <c r="R33" s="597"/>
      <c r="S33" s="597"/>
      <c r="T33" s="597"/>
      <c r="U33" s="589"/>
      <c r="V33" s="589"/>
      <c r="W33" s="589"/>
      <c r="X33" s="589"/>
      <c r="AA33" s="831"/>
      <c r="AB33" s="905"/>
      <c r="AC33" s="904"/>
      <c r="AD33" s="911"/>
      <c r="AE33" s="911"/>
      <c r="AF33" s="911"/>
      <c r="AG33" s="911"/>
      <c r="AH33" s="911"/>
      <c r="AI33" s="911"/>
      <c r="AJ33" s="912">
        <f>IF(AND('Year 1'!$B33=$AD$25),$AE$25,IF(AND('Year 1'!$B33=$AD$26),$AE$26,IF(AND('Year 1'!$B33=$AD$27),$AE$27,IF(AND('Year 1'!$B33=$AD$28),$AE$28,IF(AND('Year 1'!$B33=$AD$29),$AE$29,0)))))</f>
        <v>0</v>
      </c>
      <c r="AK33" s="912">
        <f>IF(AND('Year 1'!$B33=$AD$37),$AE$37,IF(AND('Year 1'!$B33=$AD$38),$AE$38,IF(AND('Year 1'!$B33=$AD$39),$AE$39,IF(AND('Year 1'!$B33=$AD$40),$AE$40,IF(AND('Year 1'!$B33=$AD$41),$AE$41,0)))))</f>
        <v>0</v>
      </c>
      <c r="AL33" s="912">
        <f>IF(AND('Year 1'!$B33=$AD$48),$AE$48,IF(AND('Year 1'!$B33=$AD$49),$AE$49,IF(AND('Year 1'!$B33=$AD$50),$AE$50,IF(AND('Year 1'!$B33=$AD$51),$AE$51,IF(AND('Year 1'!$B33=$AD$52),$AE$52,0)))))</f>
        <v>0</v>
      </c>
      <c r="AM33" s="988">
        <f>IF(AND('Year 1'!$B33=$AD$60),$AE$60,IF(AND('Year 1'!$B33=$AD$61),$AE$61,IF(AND('Year 1'!$B33=$AD$62),$AE$62,IF(AND('Year 1'!$B33=$AD$63),$AE$63,IF(AND('Year 1'!$B33=$AD$64),$AE$64,0)))))</f>
        <v>0</v>
      </c>
      <c r="AN33" s="987"/>
      <c r="AO33" s="911"/>
      <c r="AP33" s="904"/>
      <c r="AQ33" s="904"/>
      <c r="AR33" s="904"/>
      <c r="AS33" s="904"/>
      <c r="AT33" s="904"/>
      <c r="AU33" s="831"/>
      <c r="AV33" s="831"/>
      <c r="AW33" s="831"/>
      <c r="AX33" s="831"/>
      <c r="AY33" s="831"/>
      <c r="AZ33" s="831"/>
      <c r="BA33" s="831"/>
      <c r="BE33" s="95"/>
    </row>
    <row r="34" spans="2:57" ht="13.5" customHeight="1">
      <c r="B34" s="603"/>
      <c r="C34" s="1018">
        <f>IF(Subcontracts!$F$5=0,"",IF(Subcontracts!$F$5&gt;=2,+'Year 1'!C34:D35,""))</f>
        <v>0</v>
      </c>
      <c r="D34" s="1019"/>
      <c r="E34" s="1040">
        <f>IF(Subcontracts!$F$5=0,"",IF(Subcontracts!$F$5&gt;=2,+'Year 1'!E34:E35,""))</f>
        <v>0</v>
      </c>
      <c r="F34" s="1054">
        <f>IF(Subcontracts!$F$5=0,"",IF(Subcontracts!$F$5&gt;=2,+'Year 1'!F34,""))</f>
        <v>0</v>
      </c>
      <c r="G34" s="1054">
        <f>IF(Subcontracts!$F$5=0,"",IF(Subcontracts!$F$5&gt;=2,+'Year 1'!G34,""))</f>
        <v>0</v>
      </c>
      <c r="H34" s="1004">
        <f>IF(Subcontracts!$F$5=0,"",IF(Subcontracts!$F$5&gt;=2,+'Year 1'!H34,""))</f>
        <v>0</v>
      </c>
      <c r="I34" s="97"/>
      <c r="J34" s="87"/>
      <c r="K34" s="87"/>
      <c r="L34" s="88"/>
      <c r="M34" s="94"/>
      <c r="N34" s="94"/>
      <c r="O34" s="596"/>
      <c r="P34" s="596"/>
      <c r="Q34" s="600"/>
      <c r="R34" s="600"/>
      <c r="S34" s="600"/>
      <c r="T34" s="598"/>
      <c r="AA34" s="831"/>
      <c r="AB34" s="905" t="s">
        <v>389</v>
      </c>
      <c r="AC34" s="904"/>
      <c r="AD34" s="911"/>
      <c r="AE34" s="911"/>
      <c r="AF34" s="911"/>
      <c r="AG34" s="911"/>
      <c r="AH34" s="911"/>
      <c r="AI34" s="911"/>
      <c r="AJ34" s="912">
        <f>IF(AND('Year 1'!$B34=$AD$25),$AE$25,IF(AND('Year 1'!$B34=$AD$26),$AE$26,IF(AND('Year 1'!$B34=$AD$27),$AE$27,IF(AND('Year 1'!$B34=$AD$28),$AE$28,IF(AND('Year 1'!$B34=$AD$29),$AE$29,0)))))</f>
        <v>0</v>
      </c>
      <c r="AK34" s="912">
        <f>IF(AND('Year 1'!$B34=$AD$37),$AE$37,IF(AND('Year 1'!$B34=$AD$38),$AE$38,IF(AND('Year 1'!$B34=$AD$39),$AE$39,IF(AND('Year 1'!$B34=$AD$40),$AE$40,IF(AND('Year 1'!$B34=$AD$41),$AE$41,0)))))</f>
        <v>0</v>
      </c>
      <c r="AL34" s="912">
        <f>IF(AND('Year 1'!$B34=$AD$48),$AE$48,IF(AND('Year 1'!$B34=$AD$49),$AE$49,IF(AND('Year 1'!$B34=$AD$50),$AE$50,IF(AND('Year 1'!$B34=$AD$51),$AE$51,IF(AND('Year 1'!$B34=$AD$52),$AE$52,0)))))</f>
        <v>0</v>
      </c>
      <c r="AM34" s="988">
        <f>IF(AND('Year 1'!$B34=$AD$60),$AE$60,IF(AND('Year 1'!$B34=$AD$61),$AE$61,IF(AND('Year 1'!$B34=$AD$62),$AE$62,IF(AND('Year 1'!$B34=$AD$63),$AE$63,IF(AND('Year 1'!$B34=$AD$64),$AE$64,0)))))</f>
        <v>0</v>
      </c>
      <c r="AN34" s="987"/>
      <c r="AO34" s="911"/>
      <c r="AP34" s="904"/>
      <c r="AQ34" s="904"/>
      <c r="AR34" s="904"/>
      <c r="AS34" s="904"/>
      <c r="AT34" s="904"/>
      <c r="AU34" s="831"/>
      <c r="AV34" s="831"/>
      <c r="AW34" s="831"/>
      <c r="AX34" s="831"/>
      <c r="AY34" s="831"/>
      <c r="AZ34" s="831"/>
      <c r="BA34" s="831"/>
      <c r="BE34" s="95"/>
    </row>
    <row r="35" spans="2:57" ht="13.5" customHeight="1">
      <c r="B35" s="605">
        <f>IF(AND(Subcontracts!$Z$50=1),AJ35,IF(AND(Subcontracts!$Z$50=2),AK35,IF(AND(Subcontracts!$Z$50=3),AL35,IF(AND(Subcontracts!$Z$50=4),AM35,0))))</f>
        <v>0</v>
      </c>
      <c r="C35" s="1020"/>
      <c r="D35" s="1021"/>
      <c r="E35" s="1041"/>
      <c r="F35" s="1005"/>
      <c r="G35" s="1005"/>
      <c r="H35" s="1005"/>
      <c r="I35" s="90">
        <f>IF(Subcontracts!$F$5&gt;=2,+'Year 1'!I35+('Year 1'!I35*('Year 2'!$D$2/100)),)</f>
        <v>0</v>
      </c>
      <c r="J35" s="91">
        <f>IF(Subcontracts!$F$5&gt;=2,(((I35/12)*F34)+((I35/9)*G34)+((I35/3)*H34)),)</f>
        <v>0</v>
      </c>
      <c r="K35" s="92">
        <f>IF(Subcontracts!F$5&gt;=2,(B35/100)*J35,)</f>
        <v>0</v>
      </c>
      <c r="L35" s="93">
        <f>IF(Subcontracts!F$5&gt;=2,J35+K35,)</f>
        <v>0</v>
      </c>
      <c r="M35" s="94"/>
      <c r="N35" s="94"/>
      <c r="O35" s="596"/>
      <c r="P35" s="596"/>
      <c r="Q35" s="597"/>
      <c r="R35" s="597"/>
      <c r="S35" s="597"/>
      <c r="T35" s="598"/>
      <c r="AA35" s="831"/>
      <c r="AB35" s="905" t="s">
        <v>470</v>
      </c>
      <c r="AC35" s="904"/>
      <c r="AD35" s="911"/>
      <c r="AE35" s="911"/>
      <c r="AF35" s="911"/>
      <c r="AG35" s="911"/>
      <c r="AH35" s="911"/>
      <c r="AI35" s="911"/>
      <c r="AJ35" s="912">
        <f>IF(AND('Year 1'!$B35=$AD$25),$AE$25,IF(AND('Year 1'!$B35=$AD$26),$AE$26,IF(AND('Year 1'!$B35=$AD$27),$AE$27,IF(AND('Year 1'!$B35=$AD$28),$AE$28,IF(AND('Year 1'!$B35=$AD$29),$AE$29,0)))))</f>
        <v>0</v>
      </c>
      <c r="AK35" s="912">
        <f>IF(AND('Year 1'!$B35=$AD$37),$AE$37,IF(AND('Year 1'!$B35=$AD$38),$AE$38,IF(AND('Year 1'!$B35=$AD$39),$AE$39,IF(AND('Year 1'!$B35=$AD$40),$AE$40,IF(AND('Year 1'!$B35=$AD$41),$AE$41,0)))))</f>
        <v>0</v>
      </c>
      <c r="AL35" s="912">
        <f>IF(AND('Year 1'!$B35=$AD$48),$AE$48,IF(AND('Year 1'!$B35=$AD$49),$AE$49,IF(AND('Year 1'!$B35=$AD$50),$AE$50,IF(AND('Year 1'!$B35=$AD$51),$AE$51,IF(AND('Year 1'!$B35=$AD$52),$AE$52,0)))))</f>
        <v>0</v>
      </c>
      <c r="AM35" s="988">
        <f>IF(AND('Year 1'!$B35=$AD$60),$AE$60,IF(AND('Year 1'!$B35=$AD$61),$AE$61,IF(AND('Year 1'!$B35=$AD$62),$AE$62,IF(AND('Year 1'!$B35=$AD$63),$AE$63,IF(AND('Year 1'!$B35=$AD$64),$AE$64,0)))))</f>
        <v>0</v>
      </c>
      <c r="AN35" s="987"/>
      <c r="AO35" s="911"/>
      <c r="AP35" s="904"/>
      <c r="AQ35" s="904"/>
      <c r="AR35" s="904"/>
      <c r="AS35" s="904"/>
      <c r="AT35" s="904"/>
      <c r="AU35" s="831"/>
      <c r="AV35" s="831"/>
      <c r="AW35" s="831"/>
      <c r="AX35" s="831"/>
      <c r="AY35" s="831"/>
      <c r="AZ35" s="831"/>
      <c r="BA35" s="831"/>
      <c r="BE35" s="95"/>
    </row>
    <row r="36" spans="2:57" ht="13.5" customHeight="1">
      <c r="B36" s="603"/>
      <c r="C36" s="1018">
        <f>IF(Subcontracts!$F$5=0,"",IF(Subcontracts!$F$5&gt;=2,+'Year 1'!C36:D37,""))</f>
        <v>0</v>
      </c>
      <c r="D36" s="1019"/>
      <c r="E36" s="1040">
        <f>IF(Subcontracts!$F$5=0,"",IF(Subcontracts!$F$5&gt;=2,+'Year 1'!E36:E37,""))</f>
        <v>0</v>
      </c>
      <c r="F36" s="1054">
        <f>IF(Subcontracts!$F$5=0,"",IF(Subcontracts!$F$5&gt;=2,+'Year 1'!F36,""))</f>
        <v>0</v>
      </c>
      <c r="G36" s="1054">
        <f>IF(Subcontracts!$F$5=0,"",IF(Subcontracts!$F$5&gt;=2,+'Year 1'!G36,""))</f>
        <v>0</v>
      </c>
      <c r="H36" s="1004">
        <f>IF(Subcontracts!$F$5=0,"",IF(Subcontracts!$F$5&gt;=2,+'Year 1'!H36,""))</f>
        <v>0</v>
      </c>
      <c r="I36" s="97"/>
      <c r="J36" s="87"/>
      <c r="K36" s="87"/>
      <c r="L36" s="88"/>
      <c r="M36" s="94"/>
      <c r="N36" s="94"/>
      <c r="O36" s="596"/>
      <c r="P36" s="596"/>
      <c r="Q36" s="600"/>
      <c r="R36" s="600"/>
      <c r="S36" s="600"/>
      <c r="T36" s="598"/>
      <c r="AA36" s="831"/>
      <c r="AB36" s="905"/>
      <c r="AC36" s="904"/>
      <c r="AD36" s="912" t="s">
        <v>384</v>
      </c>
      <c r="AE36" s="912" t="s">
        <v>385</v>
      </c>
      <c r="AF36" s="912" t="s">
        <v>386</v>
      </c>
      <c r="AG36" s="912" t="s">
        <v>387</v>
      </c>
      <c r="AH36" s="912" t="s">
        <v>388</v>
      </c>
      <c r="AI36" s="911"/>
      <c r="AJ36" s="912">
        <f>IF(AND('Year 1'!$B36=$AD$25),$AE$25,IF(AND('Year 1'!$B36=$AD$26),$AE$26,IF(AND('Year 1'!$B36=$AD$27),$AE$27,IF(AND('Year 1'!$B36=$AD$28),$AE$28,IF(AND('Year 1'!$B36=$AD$29),$AE$29,0)))))</f>
        <v>0</v>
      </c>
      <c r="AK36" s="912">
        <f>IF(AND('Year 1'!$B36=$AD$37),$AE$37,IF(AND('Year 1'!$B36=$AD$38),$AE$38,IF(AND('Year 1'!$B36=$AD$39),$AE$39,IF(AND('Year 1'!$B36=$AD$40),$AE$40,IF(AND('Year 1'!$B36=$AD$41),$AE$41,0)))))</f>
        <v>0</v>
      </c>
      <c r="AL36" s="912">
        <f>IF(AND('Year 1'!$B36=$AD$48),$AE$48,IF(AND('Year 1'!$B36=$AD$49),$AE$49,IF(AND('Year 1'!$B36=$AD$50),$AE$50,IF(AND('Year 1'!$B36=$AD$51),$AE$51,IF(AND('Year 1'!$B36=$AD$52),$AE$52,0)))))</f>
        <v>0</v>
      </c>
      <c r="AM36" s="988">
        <f>IF(AND('Year 1'!$B36=$AD$60),$AE$60,IF(AND('Year 1'!$B36=$AD$61),$AE$61,IF(AND('Year 1'!$B36=$AD$62),$AE$62,IF(AND('Year 1'!$B36=$AD$63),$AE$63,IF(AND('Year 1'!$B36=$AD$64),$AE$64,0)))))</f>
        <v>0</v>
      </c>
      <c r="AN36" s="987"/>
      <c r="AO36" s="911"/>
      <c r="AP36" s="904"/>
      <c r="AQ36" s="904"/>
      <c r="AR36" s="904"/>
      <c r="AS36" s="904"/>
      <c r="AT36" s="904"/>
      <c r="AU36" s="831"/>
      <c r="AV36" s="831"/>
      <c r="AW36" s="831"/>
      <c r="AX36" s="831"/>
      <c r="AY36" s="831"/>
      <c r="AZ36" s="831"/>
      <c r="BA36" s="831"/>
      <c r="BE36" s="95"/>
    </row>
    <row r="37" spans="2:57" ht="13.5" customHeight="1">
      <c r="B37" s="605">
        <f>IF(AND(Subcontracts!$Z$50=1),AJ37,IF(AND(Subcontracts!$Z$50=2),AK37,IF(AND(Subcontracts!$Z$50=3),AL37,IF(AND(Subcontracts!$Z$50=4),AM37,0))))</f>
        <v>0</v>
      </c>
      <c r="C37" s="1020"/>
      <c r="D37" s="1021"/>
      <c r="E37" s="1041"/>
      <c r="F37" s="1005"/>
      <c r="G37" s="1005"/>
      <c r="H37" s="1005"/>
      <c r="I37" s="90">
        <f>IF(Subcontracts!$F$5&gt;=2,+'Year 1'!I37+('Year 1'!I37*('Year 2'!$D$2/100)),)</f>
        <v>0</v>
      </c>
      <c r="J37" s="91">
        <f>IF(Subcontracts!$F$5&gt;=2,(((I37/12)*F36)+((I37/9)*G36)+((I37/3)*H36)),)</f>
        <v>0</v>
      </c>
      <c r="K37" s="92">
        <f>IF(Subcontracts!F$5&gt;=2,(B37/100)*J37,)</f>
        <v>0</v>
      </c>
      <c r="L37" s="93">
        <f>IF(Subcontracts!F$5&gt;=2,J37+K37,)</f>
        <v>0</v>
      </c>
      <c r="M37" s="94"/>
      <c r="N37" s="94"/>
      <c r="O37" s="596"/>
      <c r="P37" s="596"/>
      <c r="Q37" s="597"/>
      <c r="R37" s="597"/>
      <c r="S37" s="597"/>
      <c r="T37" s="598"/>
      <c r="AA37" s="831"/>
      <c r="AB37" s="905" t="s">
        <v>258</v>
      </c>
      <c r="AC37" s="904"/>
      <c r="AD37" s="912">
        <f>AL2</f>
        <v>46.5</v>
      </c>
      <c r="AE37" s="912">
        <f aca="true" t="shared" si="1" ref="AE37:AH41">AM2</f>
        <v>47.5</v>
      </c>
      <c r="AF37" s="912">
        <f t="shared" si="1"/>
        <v>49</v>
      </c>
      <c r="AG37" s="912">
        <f t="shared" si="1"/>
        <v>49</v>
      </c>
      <c r="AH37" s="912">
        <f t="shared" si="1"/>
        <v>49</v>
      </c>
      <c r="AI37" s="911"/>
      <c r="AJ37" s="912">
        <f>IF(AND('Year 1'!$B37=$AD$25),$AE$25,IF(AND('Year 1'!$B37=$AD$26),$AE$26,IF(AND('Year 1'!$B37=$AD$27),$AE$27,IF(AND('Year 1'!$B37=$AD$28),$AE$28,IF(AND('Year 1'!$B37=$AD$29),$AE$29,0)))))</f>
        <v>0</v>
      </c>
      <c r="AK37" s="912">
        <f>IF(AND('Year 1'!$B37=$AD$37),$AE$37,IF(AND('Year 1'!$B37=$AD$38),$AE$38,IF(AND('Year 1'!$B37=$AD$39),$AE$39,IF(AND('Year 1'!$B37=$AD$40),$AE$40,IF(AND('Year 1'!$B37=$AD$41),$AE$41,0)))))</f>
        <v>0</v>
      </c>
      <c r="AL37" s="912">
        <f>IF(AND('Year 1'!$B37=$AD$48),$AE$48,IF(AND('Year 1'!$B37=$AD$49),$AE$49,IF(AND('Year 1'!$B37=$AD$50),$AE$50,IF(AND('Year 1'!$B37=$AD$51),$AE$51,IF(AND('Year 1'!$B37=$AD$52),$AE$52,0)))))</f>
        <v>0</v>
      </c>
      <c r="AM37" s="988">
        <f>IF(AND('Year 1'!$B37=$AD$60),$AE$60,IF(AND('Year 1'!$B37=$AD$61),$AE$61,IF(AND('Year 1'!$B37=$AD$62),$AE$62,IF(AND('Year 1'!$B37=$AD$63),$AE$63,IF(AND('Year 1'!$B37=$AD$64),$AE$64,0)))))</f>
        <v>0</v>
      </c>
      <c r="AN37" s="987"/>
      <c r="AO37" s="911"/>
      <c r="AP37" s="904"/>
      <c r="AQ37" s="904"/>
      <c r="AR37" s="904"/>
      <c r="AS37" s="904"/>
      <c r="AT37" s="904"/>
      <c r="AU37" s="831"/>
      <c r="AV37" s="831"/>
      <c r="AW37" s="831"/>
      <c r="AX37" s="831"/>
      <c r="AY37" s="831"/>
      <c r="AZ37" s="831"/>
      <c r="BA37" s="831"/>
      <c r="BE37" s="95"/>
    </row>
    <row r="38" spans="2:57" ht="13.5" customHeight="1">
      <c r="B38" s="603"/>
      <c r="C38" s="1055">
        <f>IF(Subcontracts!$F$5=0,"",IF(Subcontracts!$F$5&gt;=2,+'Year 1'!C38:D39,""))</f>
        <v>0</v>
      </c>
      <c r="D38" s="1019"/>
      <c r="E38" s="1032">
        <f>IF(Subcontracts!$F$5=0,"",IF(Subcontracts!$F$5&gt;=2,+'Year 1'!E38:E39,""))</f>
        <v>0</v>
      </c>
      <c r="F38" s="1054">
        <f>IF(Subcontracts!$F$5=0,"",IF(Subcontracts!$F$5&gt;=2,+'Year 1'!F38,""))</f>
        <v>0</v>
      </c>
      <c r="G38" s="1054">
        <f>IF(Subcontracts!$F$5=0,"",IF(Subcontracts!$F$5&gt;=2,+'Year 1'!G38,""))</f>
        <v>0</v>
      </c>
      <c r="H38" s="1004">
        <f>IF(Subcontracts!$F$5=0,"",IF(Subcontracts!$F$5&gt;=2,+'Year 1'!H38,""))</f>
        <v>0</v>
      </c>
      <c r="I38" s="97"/>
      <c r="J38" s="87"/>
      <c r="K38" s="87"/>
      <c r="L38" s="88"/>
      <c r="M38" s="101"/>
      <c r="N38" s="101"/>
      <c r="O38" s="601"/>
      <c r="P38" s="601"/>
      <c r="Q38" s="600"/>
      <c r="R38" s="600"/>
      <c r="S38" s="600"/>
      <c r="T38" s="602"/>
      <c r="U38" s="50"/>
      <c r="V38" s="50"/>
      <c r="W38" s="50"/>
      <c r="X38" s="50"/>
      <c r="Y38" s="50"/>
      <c r="AA38" s="831"/>
      <c r="AB38" s="905" t="s">
        <v>259</v>
      </c>
      <c r="AC38" s="904"/>
      <c r="AD38" s="912">
        <f>AL3</f>
        <v>14</v>
      </c>
      <c r="AE38" s="912">
        <f t="shared" si="1"/>
        <v>15</v>
      </c>
      <c r="AF38" s="912">
        <f t="shared" si="1"/>
        <v>15</v>
      </c>
      <c r="AG38" s="912">
        <f t="shared" si="1"/>
        <v>15</v>
      </c>
      <c r="AH38" s="912">
        <f t="shared" si="1"/>
        <v>15</v>
      </c>
      <c r="AI38" s="911"/>
      <c r="AJ38" s="912">
        <f>IF(AND('Year 1'!$B38=$AD$25),$AE$25,IF(AND('Year 1'!$B38=$AD$26),$AE$26,IF(AND('Year 1'!$B38=$AD$27),$AE$27,IF(AND('Year 1'!$B38=$AD$28),$AE$28,IF(AND('Year 1'!$B38=$AD$29),$AE$29,0)))))</f>
        <v>0</v>
      </c>
      <c r="AK38" s="912">
        <f>IF(AND('Year 1'!$B38=$AD$37),$AE$37,IF(AND('Year 1'!$B38=$AD$38),$AE$38,IF(AND('Year 1'!$B38=$AD$39),$AE$39,IF(AND('Year 1'!$B38=$AD$40),$AE$40,IF(AND('Year 1'!$B38=$AD$41),$AE$41,0)))))</f>
        <v>0</v>
      </c>
      <c r="AL38" s="912">
        <f>IF(AND('Year 1'!$B38=$AD$48),$AE$48,IF(AND('Year 1'!$B38=$AD$49),$AE$49,IF(AND('Year 1'!$B38=$AD$50),$AE$50,IF(AND('Year 1'!$B38=$AD$51),$AE$51,IF(AND('Year 1'!$B38=$AD$52),$AE$52,0)))))</f>
        <v>0</v>
      </c>
      <c r="AM38" s="988">
        <f>IF(AND('Year 1'!$B38=$AD$60),$AE$60,IF(AND('Year 1'!$B38=$AD$61),$AE$61,IF(AND('Year 1'!$B38=$AD$62),$AE$62,IF(AND('Year 1'!$B38=$AD$63),$AE$63,IF(AND('Year 1'!$B38=$AD$64),$AE$64,0)))))</f>
        <v>0</v>
      </c>
      <c r="AN38" s="987"/>
      <c r="AO38" s="911"/>
      <c r="AP38" s="904"/>
      <c r="AQ38" s="904"/>
      <c r="AR38" s="904"/>
      <c r="AS38" s="904"/>
      <c r="AT38" s="904"/>
      <c r="AU38" s="831"/>
      <c r="AV38" s="831"/>
      <c r="AW38" s="831"/>
      <c r="AX38" s="831"/>
      <c r="AY38" s="831"/>
      <c r="AZ38" s="831"/>
      <c r="BA38" s="831"/>
      <c r="BE38" s="95"/>
    </row>
    <row r="39" spans="2:57" ht="13.5" customHeight="1">
      <c r="B39" s="605">
        <f>IF(AND(Subcontracts!$Z$50=1),AJ39,IF(AND(Subcontracts!$Z$50=2),AK39,IF(AND(Subcontracts!$Z$50=3),AL39,IF(AND(Subcontracts!$Z$50=4),AM39,0))))</f>
        <v>0</v>
      </c>
      <c r="C39" s="1020"/>
      <c r="D39" s="1021"/>
      <c r="E39" s="1033"/>
      <c r="F39" s="1005"/>
      <c r="G39" s="1005"/>
      <c r="H39" s="1005"/>
      <c r="I39" s="90">
        <f>IF(Subcontracts!$F$5&gt;=2,+'Year 1'!I39+('Year 1'!I39*('Year 2'!$D$2/100)),)</f>
        <v>0</v>
      </c>
      <c r="J39" s="91">
        <f>IF(Subcontracts!$F$5&gt;=2,(((I39/12)*F38)+((I39/9)*G38)+((I39/3)*H38)),)</f>
        <v>0</v>
      </c>
      <c r="K39" s="92">
        <f>IF(Subcontracts!F$5&gt;=2,(B39/100)*J39,)</f>
        <v>0</v>
      </c>
      <c r="L39" s="93">
        <f>IF(Subcontracts!F$5&gt;=2,J39+K39,)</f>
        <v>0</v>
      </c>
      <c r="M39" s="94"/>
      <c r="N39" s="94"/>
      <c r="O39" s="596"/>
      <c r="P39" s="596"/>
      <c r="Q39" s="597"/>
      <c r="R39" s="597"/>
      <c r="S39" s="597"/>
      <c r="T39" s="598"/>
      <c r="AA39" s="831"/>
      <c r="AB39" s="905" t="s">
        <v>260</v>
      </c>
      <c r="AC39" s="904"/>
      <c r="AD39" s="912">
        <f>AL4</f>
        <v>15</v>
      </c>
      <c r="AE39" s="912">
        <f t="shared" si="1"/>
        <v>16</v>
      </c>
      <c r="AF39" s="912">
        <f t="shared" si="1"/>
        <v>17</v>
      </c>
      <c r="AG39" s="912">
        <f t="shared" si="1"/>
        <v>17</v>
      </c>
      <c r="AH39" s="912">
        <f t="shared" si="1"/>
        <v>17</v>
      </c>
      <c r="AI39" s="911"/>
      <c r="AJ39" s="912">
        <f>IF(AND('Year 1'!$B39=$AD$25),$AE$25,IF(AND('Year 1'!$B39=$AD$26),$AE$26,IF(AND('Year 1'!$B39=$AD$27),$AE$27,IF(AND('Year 1'!$B39=$AD$28),$AE$28,IF(AND('Year 1'!$B39=$AD$29),$AE$29,0)))))</f>
        <v>0</v>
      </c>
      <c r="AK39" s="912">
        <f>IF(AND('Year 1'!$B39=$AD$37),$AE$37,IF(AND('Year 1'!$B39=$AD$38),$AE$38,IF(AND('Year 1'!$B39=$AD$39),$AE$39,IF(AND('Year 1'!$B39=$AD$40),$AE$40,IF(AND('Year 1'!$B39=$AD$41),$AE$41,0)))))</f>
        <v>0</v>
      </c>
      <c r="AL39" s="912">
        <f>IF(AND('Year 1'!$B39=$AD$48),$AE$48,IF(AND('Year 1'!$B39=$AD$49),$AE$49,IF(AND('Year 1'!$B39=$AD$50),$AE$50,IF(AND('Year 1'!$B39=$AD$51),$AE$51,IF(AND('Year 1'!$B39=$AD$52),$AE$52,0)))))</f>
        <v>0</v>
      </c>
      <c r="AM39" s="988">
        <f>IF(AND('Year 1'!$B39=$AD$60),$AE$60,IF(AND('Year 1'!$B39=$AD$61),$AE$61,IF(AND('Year 1'!$B39=$AD$62),$AE$62,IF(AND('Year 1'!$B39=$AD$63),$AE$63,IF(AND('Year 1'!$B39=$AD$64),$AE$64,0)))))</f>
        <v>0</v>
      </c>
      <c r="AN39" s="987"/>
      <c r="AO39" s="911"/>
      <c r="AP39" s="904"/>
      <c r="AQ39" s="904"/>
      <c r="AR39" s="904"/>
      <c r="AS39" s="904"/>
      <c r="AT39" s="904"/>
      <c r="AU39" s="831"/>
      <c r="AV39" s="831"/>
      <c r="AW39" s="831"/>
      <c r="AX39" s="831"/>
      <c r="AY39" s="831"/>
      <c r="AZ39" s="831"/>
      <c r="BA39" s="831"/>
      <c r="BE39" s="95"/>
    </row>
    <row r="40" spans="2:57" ht="13.5" customHeight="1">
      <c r="B40" s="603"/>
      <c r="C40" s="1018">
        <f>IF(Subcontracts!$F$5=0,"",IF(Subcontracts!$F$5&gt;=2,+'Year 1'!C40:D41,""))</f>
        <v>0</v>
      </c>
      <c r="D40" s="1019"/>
      <c r="E40" s="1040">
        <f>IF(Subcontracts!$F$5=0,"",IF(Subcontracts!$F$5&gt;=2,+'Year 1'!E40:E41,""))</f>
        <v>0</v>
      </c>
      <c r="F40" s="1054">
        <f>IF(Subcontracts!$F$5=0,"",IF(Subcontracts!$F$5&gt;=2,+'Year 1'!F40,""))</f>
        <v>0</v>
      </c>
      <c r="G40" s="1054">
        <f>IF(Subcontracts!$F$5=0,"",IF(Subcontracts!$F$5&gt;=2,+'Year 1'!G40,""))</f>
        <v>0</v>
      </c>
      <c r="H40" s="1004">
        <f>IF(Subcontracts!$F$5=0,"",IF(Subcontracts!$F$5&gt;=2,+'Year 1'!H40,""))</f>
        <v>0</v>
      </c>
      <c r="I40" s="97"/>
      <c r="J40" s="87"/>
      <c r="K40" s="87"/>
      <c r="L40" s="88"/>
      <c r="M40" s="101"/>
      <c r="N40" s="101"/>
      <c r="O40" s="601"/>
      <c r="P40" s="601"/>
      <c r="Q40" s="600"/>
      <c r="R40" s="600"/>
      <c r="S40" s="600"/>
      <c r="T40" s="598"/>
      <c r="AA40" s="831"/>
      <c r="AB40" s="905" t="s">
        <v>261</v>
      </c>
      <c r="AC40" s="904"/>
      <c r="AD40" s="912">
        <f>AL5</f>
        <v>5</v>
      </c>
      <c r="AE40" s="912">
        <f t="shared" si="1"/>
        <v>5</v>
      </c>
      <c r="AF40" s="912">
        <f t="shared" si="1"/>
        <v>5</v>
      </c>
      <c r="AG40" s="912">
        <f t="shared" si="1"/>
        <v>5</v>
      </c>
      <c r="AH40" s="912">
        <f t="shared" si="1"/>
        <v>5</v>
      </c>
      <c r="AI40" s="911"/>
      <c r="AJ40" s="912">
        <f>IF(AND('Year 1'!$B40=$AD$25),$AE$25,IF(AND('Year 1'!$B40=$AD$26),$AE$26,IF(AND('Year 1'!$B40=$AD$27),$AE$27,IF(AND('Year 1'!$B40=$AD$28),$AE$28,IF(AND('Year 1'!$B40=$AD$29),$AE$29,0)))))</f>
        <v>0</v>
      </c>
      <c r="AK40" s="912">
        <f>IF(AND('Year 1'!$B40=$AD$37),$AE$37,IF(AND('Year 1'!$B40=$AD$38),$AE$38,IF(AND('Year 1'!$B40=$AD$39),$AE$39,IF(AND('Year 1'!$B40=$AD$40),$AE$40,IF(AND('Year 1'!$B40=$AD$41),$AE$41,0)))))</f>
        <v>0</v>
      </c>
      <c r="AL40" s="912">
        <f>IF(AND('Year 1'!$B40=$AD$48),$AE$48,IF(AND('Year 1'!$B40=$AD$49),$AE$49,IF(AND('Year 1'!$B40=$AD$50),$AE$50,IF(AND('Year 1'!$B40=$AD$51),$AE$51,IF(AND('Year 1'!$B40=$AD$52),$AE$52,0)))))</f>
        <v>0</v>
      </c>
      <c r="AM40" s="988">
        <f>IF(AND('Year 1'!$B40=$AD$60),$AE$60,IF(AND('Year 1'!$B40=$AD$61),$AE$61,IF(AND('Year 1'!$B40=$AD$62),$AE$62,IF(AND('Year 1'!$B40=$AD$63),$AE$63,IF(AND('Year 1'!$B40=$AD$64),$AE$64,0)))))</f>
        <v>0</v>
      </c>
      <c r="AN40" s="987"/>
      <c r="AO40" s="911"/>
      <c r="AP40" s="904"/>
      <c r="AQ40" s="904"/>
      <c r="AR40" s="904"/>
      <c r="AS40" s="904"/>
      <c r="AT40" s="904"/>
      <c r="AU40" s="831"/>
      <c r="AV40" s="831"/>
      <c r="AW40" s="831"/>
      <c r="AX40" s="831"/>
      <c r="AY40" s="831"/>
      <c r="AZ40" s="831"/>
      <c r="BA40" s="831"/>
      <c r="BE40" s="95"/>
    </row>
    <row r="41" spans="2:57" ht="13.5" customHeight="1">
      <c r="B41" s="605">
        <f>IF(AND(Subcontracts!$Z$50=1),AJ41,IF(AND(Subcontracts!$Z$50=2),AK41,IF(AND(Subcontracts!$Z$50=3),AL41,IF(AND(Subcontracts!$Z$50=4),AM41,0))))</f>
        <v>0</v>
      </c>
      <c r="C41" s="1020"/>
      <c r="D41" s="1021"/>
      <c r="E41" s="1041"/>
      <c r="F41" s="1005"/>
      <c r="G41" s="1005"/>
      <c r="H41" s="1005"/>
      <c r="I41" s="90">
        <f>IF(Subcontracts!$F$5&gt;=2,+'Year 1'!I41+('Year 1'!I41*('Year 2'!$D$2/100)),)</f>
        <v>0</v>
      </c>
      <c r="J41" s="91">
        <f>IF(Subcontracts!$F$5&gt;=2,(((I41/12)*F40)+((I41/9)*G40)+((I41/3)*H40)),)</f>
        <v>0</v>
      </c>
      <c r="K41" s="92">
        <f>IF(Subcontracts!F$5&gt;=2,(B41/100)*J41,)</f>
        <v>0</v>
      </c>
      <c r="L41" s="93">
        <f>IF(Subcontracts!F$5&gt;=2,J41+K41,)</f>
        <v>0</v>
      </c>
      <c r="M41" s="94"/>
      <c r="N41" s="94"/>
      <c r="O41" s="596"/>
      <c r="P41" s="596"/>
      <c r="Q41" s="597"/>
      <c r="R41" s="597"/>
      <c r="S41" s="597"/>
      <c r="T41" s="598"/>
      <c r="AA41" s="831"/>
      <c r="AB41" s="905" t="s">
        <v>257</v>
      </c>
      <c r="AC41" s="904"/>
      <c r="AD41" s="912">
        <f>AL6</f>
        <v>57.75</v>
      </c>
      <c r="AE41" s="912">
        <f t="shared" si="1"/>
        <v>59.38</v>
      </c>
      <c r="AF41" s="912">
        <f t="shared" si="1"/>
        <v>61.645</v>
      </c>
      <c r="AG41" s="912">
        <f t="shared" si="1"/>
        <v>64.05</v>
      </c>
      <c r="AH41" s="912">
        <f t="shared" si="1"/>
        <v>64.05</v>
      </c>
      <c r="AI41" s="911"/>
      <c r="AJ41" s="912">
        <f>IF(AND('Year 1'!$B41=$AD$25),$AE$25,IF(AND('Year 1'!$B41=$AD$26),$AE$26,IF(AND('Year 1'!$B41=$AD$27),$AE$27,IF(AND('Year 1'!$B41=$AD$28),$AE$28,IF(AND('Year 1'!$B41=$AD$29),$AE$29,0)))))</f>
        <v>0</v>
      </c>
      <c r="AK41" s="912">
        <f>IF(AND('Year 1'!$B41=$AD$37),$AE$37,IF(AND('Year 1'!$B41=$AD$38),$AE$38,IF(AND('Year 1'!$B41=$AD$39),$AE$39,IF(AND('Year 1'!$B41=$AD$40),$AE$40,IF(AND('Year 1'!$B41=$AD$41),$AE$41,0)))))</f>
        <v>0</v>
      </c>
      <c r="AL41" s="912">
        <f>IF(AND('Year 1'!$B41=$AD$48),$AE$48,IF(AND('Year 1'!$B41=$AD$49),$AE$49,IF(AND('Year 1'!$B41=$AD$50),$AE$50,IF(AND('Year 1'!$B41=$AD$51),$AE$51,IF(AND('Year 1'!$B41=$AD$52),$AE$52,0)))))</f>
        <v>0</v>
      </c>
      <c r="AM41" s="988">
        <f>IF(AND('Year 1'!$B41=$AD$60),$AE$60,IF(AND('Year 1'!$B41=$AD$61),$AE$61,IF(AND('Year 1'!$B41=$AD$62),$AE$62,IF(AND('Year 1'!$B41=$AD$63),$AE$63,IF(AND('Year 1'!$B41=$AD$64),$AE$64,0)))))</f>
        <v>0</v>
      </c>
      <c r="AN41" s="987"/>
      <c r="AO41" s="911"/>
      <c r="AP41" s="904"/>
      <c r="AQ41" s="904"/>
      <c r="AR41" s="904"/>
      <c r="AS41" s="904"/>
      <c r="AT41" s="904"/>
      <c r="AU41" s="831"/>
      <c r="AV41" s="831"/>
      <c r="AW41" s="831"/>
      <c r="AX41" s="831"/>
      <c r="AY41" s="831"/>
      <c r="AZ41" s="831"/>
      <c r="BA41" s="831"/>
      <c r="BE41" s="95"/>
    </row>
    <row r="42" spans="2:53" ht="13.5" customHeight="1">
      <c r="B42" s="603"/>
      <c r="C42" s="1018">
        <f>IF(Subcontracts!$F$5=0,"",IF(Subcontracts!$F$5&gt;=2,+'Year 1'!C42:D43,""))</f>
        <v>0</v>
      </c>
      <c r="D42" s="1019"/>
      <c r="E42" s="1040">
        <f>IF(Subcontracts!$F$5=0,"",IF(Subcontracts!$F$5&gt;=2,+'Year 1'!E42:E43,""))</f>
        <v>0</v>
      </c>
      <c r="F42" s="1054">
        <f>IF(Subcontracts!$F$5=0,"",IF(Subcontracts!$F$5&gt;=2,+'Year 1'!F42,""))</f>
        <v>0</v>
      </c>
      <c r="G42" s="1054">
        <f>IF(Subcontracts!$F$5=0,"",IF(Subcontracts!$F$5&gt;=2,+'Year 1'!G42,""))</f>
        <v>0</v>
      </c>
      <c r="H42" s="1004">
        <f>IF(Subcontracts!$F$5=0,"",IF(Subcontracts!$F$5&gt;=2,+'Year 1'!H42,""))</f>
        <v>0</v>
      </c>
      <c r="I42" s="97"/>
      <c r="J42" s="87"/>
      <c r="K42" s="87"/>
      <c r="L42" s="88"/>
      <c r="M42" s="101"/>
      <c r="N42" s="101"/>
      <c r="O42" s="601"/>
      <c r="P42" s="596"/>
      <c r="Q42" s="600"/>
      <c r="R42" s="600"/>
      <c r="S42" s="600"/>
      <c r="T42" s="598"/>
      <c r="AA42" s="831"/>
      <c r="AB42" s="905" t="s">
        <v>262</v>
      </c>
      <c r="AC42" s="904"/>
      <c r="AD42" s="912">
        <f>AL8</f>
        <v>59.5</v>
      </c>
      <c r="AE42" s="912">
        <f>AM8</f>
        <v>59.5</v>
      </c>
      <c r="AF42" s="912">
        <f>AN8</f>
        <v>59.5</v>
      </c>
      <c r="AG42" s="912">
        <f>AO8</f>
        <v>59.5</v>
      </c>
      <c r="AH42" s="912">
        <f>AP8</f>
        <v>59.5</v>
      </c>
      <c r="AI42" s="911"/>
      <c r="AJ42" s="912">
        <f>IF(AND('Year 1'!$B42=$AD$25),$AE$25,IF(AND('Year 1'!$B42=$AD$26),$AE$26,IF(AND('Year 1'!$B42=$AD$27),$AE$27,IF(AND('Year 1'!$B42=$AD$28),$AE$28,IF(AND('Year 1'!$B42=$AD$29),$AE$29,0)))))</f>
        <v>0</v>
      </c>
      <c r="AK42" s="912">
        <f>IF(AND('Year 1'!$B42=$AD$37),$AE$37,IF(AND('Year 1'!$B42=$AD$38),$AE$38,IF(AND('Year 1'!$B42=$AD$39),$AE$39,IF(AND('Year 1'!$B42=$AD$40),$AE$40,IF(AND('Year 1'!$B42=$AD$41),$AE$41,0)))))</f>
        <v>0</v>
      </c>
      <c r="AL42" s="912">
        <f>IF(AND('Year 1'!$B42=$AD$48),$AE$48,IF(AND('Year 1'!$B42=$AD$49),$AE$49,IF(AND('Year 1'!$B42=$AD$50),$AE$50,IF(AND('Year 1'!$B42=$AD$51),$AE$51,IF(AND('Year 1'!$B42=$AD$52),$AE$52,0)))))</f>
        <v>0</v>
      </c>
      <c r="AM42" s="988">
        <f>IF(AND('Year 1'!$B42=$AD$60),$AE$60,IF(AND('Year 1'!$B42=$AD$61),$AE$61,IF(AND('Year 1'!$B42=$AD$62),$AE$62,IF(AND('Year 1'!$B42=$AD$63),$AE$63,IF(AND('Year 1'!$B42=$AD$64),$AE$64,0)))))</f>
        <v>0</v>
      </c>
      <c r="AN42" s="987"/>
      <c r="AO42" s="911"/>
      <c r="AP42" s="904"/>
      <c r="AQ42" s="904"/>
      <c r="AR42" s="904"/>
      <c r="AS42" s="904"/>
      <c r="AT42" s="904"/>
      <c r="AU42" s="831"/>
      <c r="AV42" s="831"/>
      <c r="AW42" s="831"/>
      <c r="AX42" s="831"/>
      <c r="AY42" s="831"/>
      <c r="AZ42" s="831"/>
      <c r="BA42" s="831"/>
    </row>
    <row r="43" spans="2:53" ht="13.5" customHeight="1">
      <c r="B43" s="605">
        <f>IF(AND(Subcontracts!$Z$50=1),AJ43,IF(AND(Subcontracts!$Z$50=2),AK43,IF(AND(Subcontracts!$Z$50=3),AL43,IF(AND(Subcontracts!$Z$50=4),AM43,0))))</f>
        <v>0</v>
      </c>
      <c r="C43" s="1020"/>
      <c r="D43" s="1021"/>
      <c r="E43" s="1045"/>
      <c r="F43" s="1005"/>
      <c r="G43" s="1005"/>
      <c r="H43" s="1005"/>
      <c r="I43" s="99">
        <f>IF(Subcontracts!$F$5&gt;=2,+'Year 1'!I43+('Year 1'!I43*('Year 2'!$D$2/100)),)</f>
        <v>0</v>
      </c>
      <c r="J43" s="91">
        <f>IF(Subcontracts!$F$5&gt;=2,(((I43/12)*F42)+((I43/9)*G42)+((I43/3)*H42)),)</f>
        <v>0</v>
      </c>
      <c r="K43" s="92">
        <f>IF(Subcontracts!F$5&gt;=2,(B43/100)*J43,)</f>
        <v>0</v>
      </c>
      <c r="L43" s="93">
        <f>IF(Subcontracts!F$5&gt;=2,J43+K43,)</f>
        <v>0</v>
      </c>
      <c r="N43" s="94"/>
      <c r="O43" s="596"/>
      <c r="P43" s="596"/>
      <c r="Q43" s="597"/>
      <c r="R43" s="597"/>
      <c r="S43" s="597"/>
      <c r="T43" s="598"/>
      <c r="AA43" s="831"/>
      <c r="AB43" s="905"/>
      <c r="AC43" s="904"/>
      <c r="AD43" s="911"/>
      <c r="AE43" s="911"/>
      <c r="AF43" s="911"/>
      <c r="AG43" s="911"/>
      <c r="AH43" s="911"/>
      <c r="AI43" s="911"/>
      <c r="AJ43" s="912">
        <f>IF(AND('Year 1'!$B43=$AD$25),$AE$25,IF(AND('Year 1'!$B43=$AD$26),$AE$26,IF(AND('Year 1'!$B43=$AD$27),$AE$27,IF(AND('Year 1'!$B43=$AD$28),$AE$28,IF(AND('Year 1'!$B43=$AD$29),$AE$29,0)))))</f>
        <v>0</v>
      </c>
      <c r="AK43" s="912">
        <f>IF(AND('Year 1'!$B43=$AD$37),$AE$37,IF(AND('Year 1'!$B43=$AD$38),$AE$38,IF(AND('Year 1'!$B43=$AD$39),$AE$39,IF(AND('Year 1'!$B43=$AD$40),$AE$40,IF(AND('Year 1'!$B43=$AD$41),$AE$41,0)))))</f>
        <v>0</v>
      </c>
      <c r="AL43" s="912">
        <f>IF(AND('Year 1'!$B43=$AD$48),$AE$48,IF(AND('Year 1'!$B43=$AD$49),$AE$49,IF(AND('Year 1'!$B43=$AD$50),$AE$50,IF(AND('Year 1'!$B43=$AD$51),$AE$51,IF(AND('Year 1'!$B43=$AD$52),$AE$52,0)))))</f>
        <v>0</v>
      </c>
      <c r="AM43" s="988">
        <f>IF(AND('Year 1'!$B43=$AD$60),$AE$60,IF(AND('Year 1'!$B43=$AD$61),$AE$61,IF(AND('Year 1'!$B43=$AD$62),$AE$62,IF(AND('Year 1'!$B43=$AD$63),$AE$63,IF(AND('Year 1'!$B43=$AD$64),$AE$64,0)))))</f>
        <v>0</v>
      </c>
      <c r="AN43" s="987"/>
      <c r="AO43" s="911"/>
      <c r="AP43" s="904"/>
      <c r="AQ43" s="904"/>
      <c r="AR43" s="904"/>
      <c r="AS43" s="904"/>
      <c r="AT43" s="904"/>
      <c r="AU43" s="831"/>
      <c r="AV43" s="831"/>
      <c r="AW43" s="831"/>
      <c r="AX43" s="831"/>
      <c r="AY43" s="831"/>
      <c r="AZ43" s="831"/>
      <c r="BA43" s="831"/>
    </row>
    <row r="44" spans="2:53" ht="13.5" customHeight="1">
      <c r="B44" s="603"/>
      <c r="C44" s="1018">
        <f>IF(Subcontracts!$F$5=0,"",IF(Subcontracts!$F$5&gt;=2,+'Year 1'!C44:D45,""))</f>
        <v>0</v>
      </c>
      <c r="D44" s="1019"/>
      <c r="E44" s="1044">
        <f>IF(Subcontracts!$F$5=0,"",IF(Subcontracts!$F$5&gt;=2,+'Year 1'!E44:E45,""))</f>
        <v>0</v>
      </c>
      <c r="F44" s="1054">
        <f>IF(Subcontracts!$F$5=0,"",IF(Subcontracts!$F$5&gt;=2,+'Year 1'!F44,""))</f>
        <v>0</v>
      </c>
      <c r="G44" s="1054">
        <f>IF(Subcontracts!$F$5=0,"",IF(Subcontracts!$F$5&gt;=2,+'Year 1'!G44,""))</f>
        <v>0</v>
      </c>
      <c r="H44" s="1004">
        <f>IF(Subcontracts!$F$5=0,"",IF(Subcontracts!$F$5&gt;=2,+'Year 1'!H44,""))</f>
        <v>0</v>
      </c>
      <c r="I44" s="97"/>
      <c r="J44" s="87"/>
      <c r="K44" s="87"/>
      <c r="L44" s="88"/>
      <c r="M44" s="50"/>
      <c r="N44" s="101"/>
      <c r="O44" s="601"/>
      <c r="P44" s="601"/>
      <c r="Q44" s="600"/>
      <c r="R44" s="600"/>
      <c r="S44" s="600"/>
      <c r="T44" s="602"/>
      <c r="U44" s="50"/>
      <c r="V44" s="50"/>
      <c r="W44" s="50"/>
      <c r="X44" s="50"/>
      <c r="Y44" s="50"/>
      <c r="Z44" s="50"/>
      <c r="AA44" s="842"/>
      <c r="AB44" s="948"/>
      <c r="AC44" s="949"/>
      <c r="AD44" s="911"/>
      <c r="AE44" s="911"/>
      <c r="AF44" s="911"/>
      <c r="AG44" s="911"/>
      <c r="AH44" s="911"/>
      <c r="AI44" s="911"/>
      <c r="AJ44" s="912">
        <f>IF(AND('Year 1'!$B44=$AD$25),$AE$25,IF(AND('Year 1'!$B44=$AD$26),$AE$26,IF(AND('Year 1'!$B44=$AD$27),$AE$27,IF(AND('Year 1'!$B44=$AD$28),$AE$28,IF(AND('Year 1'!$B44=$AD$29),$AE$29,0)))))</f>
        <v>0</v>
      </c>
      <c r="AK44" s="912">
        <f>IF(AND('Year 1'!$B44=$AD$37),$AE$37,IF(AND('Year 1'!$B44=$AD$38),$AE$38,IF(AND('Year 1'!$B44=$AD$39),$AE$39,IF(AND('Year 1'!$B44=$AD$40),$AE$40,IF(AND('Year 1'!$B44=$AD$41),$AE$41,0)))))</f>
        <v>0</v>
      </c>
      <c r="AL44" s="912">
        <f>IF(AND('Year 1'!$B44=$AD$48),$AE$48,IF(AND('Year 1'!$B44=$AD$49),$AE$49,IF(AND('Year 1'!$B44=$AD$50),$AE$50,IF(AND('Year 1'!$B44=$AD$51),$AE$51,IF(AND('Year 1'!$B44=$AD$52),$AE$52,0)))))</f>
        <v>0</v>
      </c>
      <c r="AM44" s="988">
        <f>IF(AND('Year 1'!$B44=$AD$60),$AE$60,IF(AND('Year 1'!$B44=$AD$61),$AE$61,IF(AND('Year 1'!$B44=$AD$62),$AE$62,IF(AND('Year 1'!$B44=$AD$63),$AE$63,IF(AND('Year 1'!$B44=$AD$64),$AE$64,0)))))</f>
        <v>0</v>
      </c>
      <c r="AN44" s="987"/>
      <c r="AO44" s="911"/>
      <c r="AP44" s="904"/>
      <c r="AQ44" s="904"/>
      <c r="AR44" s="904"/>
      <c r="AS44" s="904"/>
      <c r="AT44" s="904"/>
      <c r="AU44" s="831"/>
      <c r="AV44" s="831"/>
      <c r="AW44" s="831"/>
      <c r="AX44" s="831"/>
      <c r="AY44" s="831"/>
      <c r="AZ44" s="831"/>
      <c r="BA44" s="831"/>
    </row>
    <row r="45" spans="2:53" ht="13.5" customHeight="1">
      <c r="B45" s="605">
        <f>IF(AND(Subcontracts!$Z$50=1),AJ45,IF(AND(Subcontracts!$Z$50=2),AK45,IF(AND(Subcontracts!$Z$50=3),AL45,IF(AND(Subcontracts!$Z$50=4),AM45,0))))</f>
        <v>0</v>
      </c>
      <c r="C45" s="1020"/>
      <c r="D45" s="1021"/>
      <c r="E45" s="1045"/>
      <c r="F45" s="1005"/>
      <c r="G45" s="1005"/>
      <c r="H45" s="1005"/>
      <c r="I45" s="99">
        <f>IF(Subcontracts!$F$5&gt;=2,+'Year 1'!I45+('Year 1'!I45*('Year 2'!$D$2/100)),)</f>
        <v>0</v>
      </c>
      <c r="J45" s="91">
        <f>IF(Subcontracts!$F$5&gt;=2,(((I45/12)*F44)+((I45/9)*G44)+((I45/3)*H44)),)</f>
        <v>0</v>
      </c>
      <c r="K45" s="92">
        <f>IF(Subcontracts!F$5&gt;=2,(B45/100)*J45,)</f>
        <v>0</v>
      </c>
      <c r="L45" s="93">
        <f>IF(Subcontracts!F$5&gt;=2,J45+K45,)</f>
        <v>0</v>
      </c>
      <c r="N45" s="94"/>
      <c r="O45" s="596"/>
      <c r="P45" s="596"/>
      <c r="Q45" s="597"/>
      <c r="R45" s="597"/>
      <c r="S45" s="597"/>
      <c r="T45" s="598"/>
      <c r="AA45" s="831"/>
      <c r="AB45" s="905" t="s">
        <v>390</v>
      </c>
      <c r="AC45" s="904"/>
      <c r="AD45" s="911"/>
      <c r="AE45" s="911"/>
      <c r="AF45" s="911"/>
      <c r="AG45" s="911"/>
      <c r="AH45" s="911"/>
      <c r="AI45" s="911"/>
      <c r="AJ45" s="912">
        <f>IF(AND('Year 1'!$B45=$AD$25),$AE$25,IF(AND('Year 1'!$B45=$AD$26),$AE$26,IF(AND('Year 1'!$B45=$AD$27),$AE$27,IF(AND('Year 1'!$B45=$AD$28),$AE$28,IF(AND('Year 1'!$B45=$AD$29),$AE$29,0)))))</f>
        <v>0</v>
      </c>
      <c r="AK45" s="912">
        <f>IF(AND('Year 1'!$B45=$AD$37),$AE$37,IF(AND('Year 1'!$B45=$AD$38),$AE$38,IF(AND('Year 1'!$B45=$AD$39),$AE$39,IF(AND('Year 1'!$B45=$AD$40),$AE$40,IF(AND('Year 1'!$B45=$AD$41),$AE$41,0)))))</f>
        <v>0</v>
      </c>
      <c r="AL45" s="912">
        <f>IF(AND('Year 1'!$B45=$AD$48),$AE$48,IF(AND('Year 1'!$B45=$AD$49),$AE$49,IF(AND('Year 1'!$B45=$AD$50),$AE$50,IF(AND('Year 1'!$B45=$AD$51),$AE$51,IF(AND('Year 1'!$B45=$AD$52),$AE$52,0)))))</f>
        <v>0</v>
      </c>
      <c r="AM45" s="988">
        <f>IF(AND('Year 1'!$B45=$AD$60),$AE$60,IF(AND('Year 1'!$B45=$AD$61),$AE$61,IF(AND('Year 1'!$B45=$AD$62),$AE$62,IF(AND('Year 1'!$B45=$AD$63),$AE$63,IF(AND('Year 1'!$B45=$AD$64),$AE$64,0)))))</f>
        <v>0</v>
      </c>
      <c r="AN45" s="987"/>
      <c r="AO45" s="911"/>
      <c r="AP45" s="904"/>
      <c r="AQ45" s="904"/>
      <c r="AR45" s="904"/>
      <c r="AS45" s="904"/>
      <c r="AT45" s="904"/>
      <c r="AU45" s="831"/>
      <c r="AV45" s="831"/>
      <c r="AW45" s="831"/>
      <c r="AX45" s="831"/>
      <c r="AY45" s="831"/>
      <c r="AZ45" s="831"/>
      <c r="BA45" s="831"/>
    </row>
    <row r="46" spans="2:53" ht="13.5" customHeight="1">
      <c r="B46" s="603"/>
      <c r="C46" s="1018">
        <f>IF(Subcontracts!$F$5=0,"",IF(Subcontracts!$F$5&gt;=2,+'Year 1'!C46:D47,""))</f>
        <v>0</v>
      </c>
      <c r="D46" s="1019"/>
      <c r="E46" s="1044">
        <f>IF(Subcontracts!$F$5=0,"",IF(Subcontracts!$F$5&gt;=2,+'Year 1'!E46:E47,""))</f>
        <v>0</v>
      </c>
      <c r="F46" s="1054">
        <f>IF(Subcontracts!$F$5=0,"",IF(Subcontracts!$F$5&gt;=2,+'Year 1'!F46,""))</f>
        <v>0</v>
      </c>
      <c r="G46" s="1054">
        <f>IF(Subcontracts!$F$5=0,"",IF(Subcontracts!$F$5&gt;=2,+'Year 1'!G46,""))</f>
        <v>0</v>
      </c>
      <c r="H46" s="1004">
        <f>IF(Subcontracts!$F$5=0,"",IF(Subcontracts!$F$5&gt;=2,+'Year 1'!H46,""))</f>
        <v>0</v>
      </c>
      <c r="I46" s="97"/>
      <c r="J46" s="87"/>
      <c r="K46" s="87"/>
      <c r="L46" s="88"/>
      <c r="N46" s="94"/>
      <c r="O46" s="596"/>
      <c r="P46" s="596"/>
      <c r="Q46" s="600"/>
      <c r="R46" s="600"/>
      <c r="S46" s="600"/>
      <c r="T46" s="598"/>
      <c r="AA46" s="831"/>
      <c r="AB46" s="905" t="s">
        <v>464</v>
      </c>
      <c r="AC46" s="904"/>
      <c r="AD46" s="911"/>
      <c r="AE46" s="911"/>
      <c r="AF46" s="911"/>
      <c r="AG46" s="911"/>
      <c r="AH46" s="911"/>
      <c r="AI46" s="911"/>
      <c r="AJ46" s="912">
        <f>IF(AND('Year 1'!$B46=$AD$25),$AE$25,IF(AND('Year 1'!$B46=$AD$26),$AE$26,IF(AND('Year 1'!$B46=$AD$27),$AE$27,IF(AND('Year 1'!$B46=$AD$28),$AE$28,IF(AND('Year 1'!$B46=$AD$29),$AE$29,0)))))</f>
        <v>0</v>
      </c>
      <c r="AK46" s="912">
        <f>IF(AND('Year 1'!$B46=$AD$37),$AE$37,IF(AND('Year 1'!$B46=$AD$38),$AE$38,IF(AND('Year 1'!$B46=$AD$39),$AE$39,IF(AND('Year 1'!$B46=$AD$40),$AE$40,IF(AND('Year 1'!$B46=$AD$41),$AE$41,0)))))</f>
        <v>0</v>
      </c>
      <c r="AL46" s="912">
        <f>IF(AND('Year 1'!$B46=$AD$48),$AE$48,IF(AND('Year 1'!$B46=$AD$49),$AE$49,IF(AND('Year 1'!$B46=$AD$50),$AE$50,IF(AND('Year 1'!$B46=$AD$51),$AE$51,IF(AND('Year 1'!$B46=$AD$52),$AE$52,0)))))</f>
        <v>0</v>
      </c>
      <c r="AM46" s="988">
        <f>IF(AND('Year 1'!$B46=$AD$60),$AE$60,IF(AND('Year 1'!$B46=$AD$61),$AE$61,IF(AND('Year 1'!$B46=$AD$62),$AE$62,IF(AND('Year 1'!$B46=$AD$63),$AE$63,IF(AND('Year 1'!$B46=$AD$64),$AE$64,0)))))</f>
        <v>0</v>
      </c>
      <c r="AN46" s="987"/>
      <c r="AO46" s="911"/>
      <c r="AP46" s="904"/>
      <c r="AQ46" s="904"/>
      <c r="AR46" s="904"/>
      <c r="AS46" s="904"/>
      <c r="AT46" s="904"/>
      <c r="AU46" s="831"/>
      <c r="AV46" s="831"/>
      <c r="AW46" s="831"/>
      <c r="AX46" s="831"/>
      <c r="AY46" s="831"/>
      <c r="AZ46" s="831"/>
      <c r="BA46" s="831"/>
    </row>
    <row r="47" spans="2:53" ht="13.5" customHeight="1">
      <c r="B47" s="605">
        <f>IF(AND(Subcontracts!$Z$50=1),AJ47,IF(AND(Subcontracts!$Z$50=2),AK47,IF(AND(Subcontracts!$Z$50=3),AL47,IF(AND(Subcontracts!$Z$50=4),AM47,0))))</f>
        <v>0</v>
      </c>
      <c r="C47" s="1020"/>
      <c r="D47" s="1021"/>
      <c r="E47" s="1045"/>
      <c r="F47" s="1005"/>
      <c r="G47" s="1005"/>
      <c r="H47" s="1005"/>
      <c r="I47" s="99">
        <f>IF(Subcontracts!$F$5&gt;=2,+'Year 1'!I47+('Year 1'!I47*('Year 2'!$D$2/100)),)</f>
        <v>0</v>
      </c>
      <c r="J47" s="91">
        <f>IF(Subcontracts!$F$5&gt;=2,(((I47/12)*F46)+((I47/9)*G46)+((I47/3)*H46)),)</f>
        <v>0</v>
      </c>
      <c r="K47" s="92">
        <f>IF(Subcontracts!F$5&gt;=2,(B47/100)*J47,)</f>
        <v>0</v>
      </c>
      <c r="L47" s="93">
        <f>IF(Subcontracts!F$5&gt;=2,J47+K47,)</f>
        <v>0</v>
      </c>
      <c r="N47" s="94"/>
      <c r="O47" s="596"/>
      <c r="P47" s="596"/>
      <c r="Q47" s="597"/>
      <c r="R47" s="597"/>
      <c r="S47" s="597"/>
      <c r="T47" s="598"/>
      <c r="AA47" s="831"/>
      <c r="AB47" s="905"/>
      <c r="AC47" s="904"/>
      <c r="AD47" s="912" t="s">
        <v>384</v>
      </c>
      <c r="AE47" s="912" t="s">
        <v>385</v>
      </c>
      <c r="AF47" s="912" t="s">
        <v>386</v>
      </c>
      <c r="AG47" s="912" t="s">
        <v>387</v>
      </c>
      <c r="AH47" s="912" t="s">
        <v>388</v>
      </c>
      <c r="AI47" s="911"/>
      <c r="AJ47" s="912">
        <f>IF(AND('Year 1'!$B47=$AD$25),$AE$25,IF(AND('Year 1'!$B47=$AD$26),$AE$26,IF(AND('Year 1'!$B47=$AD$27),$AE$27,IF(AND('Year 1'!$B47=$AD$28),$AE$28,IF(AND('Year 1'!$B47=$AD$29),$AE$29,0)))))</f>
        <v>0</v>
      </c>
      <c r="AK47" s="912">
        <f>IF(AND('Year 1'!$B47=$AD$37),$AE$37,IF(AND('Year 1'!$B47=$AD$38),$AE$38,IF(AND('Year 1'!$B47=$AD$39),$AE$39,IF(AND('Year 1'!$B47=$AD$40),$AE$40,IF(AND('Year 1'!$B47=$AD$41),$AE$41,0)))))</f>
        <v>0</v>
      </c>
      <c r="AL47" s="912">
        <f>IF(AND('Year 1'!$B47=$AD$48),$AE$48,IF(AND('Year 1'!$B47=$AD$49),$AE$49,IF(AND('Year 1'!$B47=$AD$50),$AE$50,IF(AND('Year 1'!$B47=$AD$51),$AE$51,IF(AND('Year 1'!$B47=$AD$52),$AE$52,0)))))</f>
        <v>0</v>
      </c>
      <c r="AM47" s="988">
        <f>IF(AND('Year 1'!$B47=$AD$60),$AE$60,IF(AND('Year 1'!$B47=$AD$61),$AE$61,IF(AND('Year 1'!$B47=$AD$62),$AE$62,IF(AND('Year 1'!$B47=$AD$63),$AE$63,IF(AND('Year 1'!$B47=$AD$64),$AE$64,0)))))</f>
        <v>0</v>
      </c>
      <c r="AN47" s="987"/>
      <c r="AO47" s="911"/>
      <c r="AP47" s="904"/>
      <c r="AQ47" s="904"/>
      <c r="AR47" s="904"/>
      <c r="AS47" s="904"/>
      <c r="AT47" s="904"/>
      <c r="AU47" s="831"/>
      <c r="AV47" s="831"/>
      <c r="AW47" s="831"/>
      <c r="AX47" s="831"/>
      <c r="AY47" s="831"/>
      <c r="AZ47" s="831"/>
      <c r="BA47" s="831"/>
    </row>
    <row r="48" spans="2:53" ht="13.5" customHeight="1">
      <c r="B48" s="603"/>
      <c r="C48" s="1018">
        <f>IF(Subcontracts!$F$5=0,"",IF(Subcontracts!$F$5&gt;=2,+'Year 1'!C48:D49,""))</f>
        <v>0</v>
      </c>
      <c r="D48" s="1019"/>
      <c r="E48" s="1044">
        <f>IF(Subcontracts!$F$5=0,"",IF(Subcontracts!$F$5&gt;=2,+'Year 1'!E48:E49,""))</f>
        <v>0</v>
      </c>
      <c r="F48" s="1054">
        <f>IF(Subcontracts!$F$5=0,"",IF(Subcontracts!$F$5&gt;=2,+'Year 1'!F48,""))</f>
        <v>0</v>
      </c>
      <c r="G48" s="1054">
        <f>IF(Subcontracts!$F$5=0,"",IF(Subcontracts!$F$5&gt;=2,+'Year 1'!G48,""))</f>
        <v>0</v>
      </c>
      <c r="H48" s="1004">
        <f>IF(Subcontracts!$F$5=0,"",IF(Subcontracts!$F$5&gt;=2,+'Year 1'!H48,""))</f>
        <v>0</v>
      </c>
      <c r="I48" s="97"/>
      <c r="J48" s="87"/>
      <c r="K48" s="87"/>
      <c r="L48" s="88"/>
      <c r="M48" s="95"/>
      <c r="N48" s="95"/>
      <c r="O48" s="596"/>
      <c r="P48" s="596"/>
      <c r="Q48" s="600"/>
      <c r="R48" s="600"/>
      <c r="S48" s="600"/>
      <c r="T48" s="598"/>
      <c r="Z48" s="828"/>
      <c r="AA48" s="831"/>
      <c r="AB48" s="905" t="s">
        <v>258</v>
      </c>
      <c r="AC48" s="904"/>
      <c r="AD48" s="912">
        <f>AM2</f>
        <v>47.5</v>
      </c>
      <c r="AE48" s="912">
        <f aca="true" t="shared" si="2" ref="AE48:AH52">AN2</f>
        <v>49</v>
      </c>
      <c r="AF48" s="912">
        <f t="shared" si="2"/>
        <v>49</v>
      </c>
      <c r="AG48" s="912">
        <f t="shared" si="2"/>
        <v>49</v>
      </c>
      <c r="AH48" s="912">
        <f t="shared" si="2"/>
        <v>49</v>
      </c>
      <c r="AI48" s="911"/>
      <c r="AJ48" s="912">
        <f>IF(AND('Year 1'!$B48=$AD$25),$AE$25,IF(AND('Year 1'!$B48=$AD$26),$AE$26,IF(AND('Year 1'!$B48=$AD$27),$AE$27,IF(AND('Year 1'!$B48=$AD$28),$AE$28,IF(AND('Year 1'!$B48=$AD$29),$AE$29,0)))))</f>
        <v>0</v>
      </c>
      <c r="AK48" s="912">
        <f>IF(AND('Year 1'!$B48=$AD$37),$AE$37,IF(AND('Year 1'!$B48=$AD$38),$AE$38,IF(AND('Year 1'!$B48=$AD$39),$AE$39,IF(AND('Year 1'!$B48=$AD$40),$AE$40,IF(AND('Year 1'!$B48=$AD$41),$AE$41,0)))))</f>
        <v>0</v>
      </c>
      <c r="AL48" s="912">
        <f>IF(AND('Year 1'!$B48=$AD$48),$AE$48,IF(AND('Year 1'!$B48=$AD$49),$AE$49,IF(AND('Year 1'!$B48=$AD$50),$AE$50,IF(AND('Year 1'!$B48=$AD$51),$AE$51,IF(AND('Year 1'!$B48=$AD$52),$AE$52,0)))))</f>
        <v>0</v>
      </c>
      <c r="AM48" s="988">
        <f>IF(AND('Year 1'!$B48=$AD$60),$AE$60,IF(AND('Year 1'!$B48=$AD$61),$AE$61,IF(AND('Year 1'!$B48=$AD$62),$AE$62,IF(AND('Year 1'!$B48=$AD$63),$AE$63,IF(AND('Year 1'!$B48=$AD$64),$AE$64,0)))))</f>
        <v>0</v>
      </c>
      <c r="AN48" s="987"/>
      <c r="AO48" s="911"/>
      <c r="AP48" s="904"/>
      <c r="AQ48" s="904"/>
      <c r="AR48" s="904"/>
      <c r="AS48" s="904"/>
      <c r="AT48" s="904"/>
      <c r="AU48" s="831"/>
      <c r="AV48" s="831"/>
      <c r="AW48" s="831"/>
      <c r="AX48" s="831"/>
      <c r="AY48" s="831"/>
      <c r="AZ48" s="831"/>
      <c r="BA48" s="831"/>
    </row>
    <row r="49" spans="2:53" ht="13.5" customHeight="1" thickBot="1">
      <c r="B49" s="605">
        <f>IF(AND(Subcontracts!$Z$50=1),AJ49,IF(AND(Subcontracts!$Z$50=2),AK49,IF(AND(Subcontracts!$Z$50=3),AL49,IF(AND(Subcontracts!$Z$50=4),AM49,0))))</f>
        <v>0</v>
      </c>
      <c r="C49" s="1020"/>
      <c r="D49" s="1021"/>
      <c r="E49" s="1045"/>
      <c r="F49" s="1005"/>
      <c r="G49" s="1005"/>
      <c r="H49" s="1005"/>
      <c r="I49" s="90">
        <f>IF(Subcontracts!$F$5&gt;=2,+'Year 1'!I49+('Year 1'!I49*('Year 2'!$D$2/100)),)</f>
        <v>0</v>
      </c>
      <c r="J49" s="91">
        <f>IF(Subcontracts!$F$5&gt;=2,(((I49/12)*F48)+((I49/9)*G48)+((I49/3)*H48)),)</f>
        <v>0</v>
      </c>
      <c r="K49" s="92">
        <f>IF(Subcontracts!F$5&gt;=2,(B49/100)*J49,)</f>
        <v>0</v>
      </c>
      <c r="L49" s="93">
        <f>IF(Subcontracts!F$5&gt;=2,J49+K49,)</f>
        <v>0</v>
      </c>
      <c r="M49" s="95"/>
      <c r="N49" s="95"/>
      <c r="O49" s="596"/>
      <c r="P49" s="596"/>
      <c r="Q49" s="597"/>
      <c r="R49" s="597"/>
      <c r="S49" s="597"/>
      <c r="T49" s="598"/>
      <c r="Z49" s="828"/>
      <c r="AA49" s="831"/>
      <c r="AB49" s="905" t="s">
        <v>259</v>
      </c>
      <c r="AC49" s="904"/>
      <c r="AD49" s="912">
        <f>AM3</f>
        <v>15</v>
      </c>
      <c r="AE49" s="912">
        <f t="shared" si="2"/>
        <v>15</v>
      </c>
      <c r="AF49" s="912">
        <f t="shared" si="2"/>
        <v>15</v>
      </c>
      <c r="AG49" s="912">
        <f t="shared" si="2"/>
        <v>15</v>
      </c>
      <c r="AH49" s="912">
        <f t="shared" si="2"/>
        <v>15</v>
      </c>
      <c r="AI49" s="911"/>
      <c r="AJ49" s="912">
        <f>IF(AND('Year 1'!$B49=$AD$25),$AE$25,IF(AND('Year 1'!$B49=$AD$26),$AE$26,IF(AND('Year 1'!$B49=$AD$27),$AE$27,IF(AND('Year 1'!$B49=$AD$28),$AE$28,IF(AND('Year 1'!$B49=$AD$29),$AE$29,0)))))</f>
        <v>0</v>
      </c>
      <c r="AK49" s="912">
        <f>IF(AND('Year 1'!$B49=$AD$37),$AE$37,IF(AND('Year 1'!$B49=$AD$38),$AE$38,IF(AND('Year 1'!$B49=$AD$39),$AE$39,IF(AND('Year 1'!$B49=$AD$40),$AE$40,IF(AND('Year 1'!$B49=$AD$41),$AE$41,0)))))</f>
        <v>0</v>
      </c>
      <c r="AL49" s="912">
        <f>IF(AND('Year 1'!$B49=$AD$48),$AE$48,IF(AND('Year 1'!$B49=$AD$49),$AE$49,IF(AND('Year 1'!$B49=$AD$50),$AE$50,IF(AND('Year 1'!$B49=$AD$51),$AE$51,IF(AND('Year 1'!$B49=$AD$52),$AE$52,0)))))</f>
        <v>0</v>
      </c>
      <c r="AM49" s="988">
        <f>IF(AND('Year 1'!$B49=$AD$60),$AE$60,IF(AND('Year 1'!$B49=$AD$61),$AE$61,IF(AND('Year 1'!$B49=$AD$62),$AE$62,IF(AND('Year 1'!$B49=$AD$63),$AE$63,IF(AND('Year 1'!$B49=$AD$64),$AE$64,0)))))</f>
        <v>0</v>
      </c>
      <c r="AN49" s="987"/>
      <c r="AO49" s="911"/>
      <c r="AP49" s="904"/>
      <c r="AQ49" s="904"/>
      <c r="AR49" s="904"/>
      <c r="AS49" s="904"/>
      <c r="AT49" s="904"/>
      <c r="AU49" s="831"/>
      <c r="AV49" s="831"/>
      <c r="AW49" s="831"/>
      <c r="AX49" s="831"/>
      <c r="AY49" s="831"/>
      <c r="AZ49" s="831"/>
      <c r="BA49" s="831"/>
    </row>
    <row r="50" spans="2:53" ht="21" customHeight="1" thickBot="1">
      <c r="B50" s="289"/>
      <c r="C50" s="75"/>
      <c r="D50" s="75"/>
      <c r="E50" s="627" t="s">
        <v>70</v>
      </c>
      <c r="F50" s="49"/>
      <c r="G50" s="104"/>
      <c r="H50" s="104"/>
      <c r="I50" s="75"/>
      <c r="J50" s="105">
        <f>SUM(J21:J49)</f>
        <v>0</v>
      </c>
      <c r="K50" s="105">
        <f>SUM(K21:K49)</f>
        <v>0</v>
      </c>
      <c r="L50" s="106">
        <f>SUM(L21:L49)</f>
        <v>0</v>
      </c>
      <c r="Z50" s="828"/>
      <c r="AA50" s="831"/>
      <c r="AB50" s="905" t="s">
        <v>260</v>
      </c>
      <c r="AC50" s="904"/>
      <c r="AD50" s="912">
        <f>AM4</f>
        <v>16</v>
      </c>
      <c r="AE50" s="912">
        <f t="shared" si="2"/>
        <v>17</v>
      </c>
      <c r="AF50" s="912">
        <f t="shared" si="2"/>
        <v>17</v>
      </c>
      <c r="AG50" s="912">
        <f t="shared" si="2"/>
        <v>17</v>
      </c>
      <c r="AH50" s="912">
        <f t="shared" si="2"/>
        <v>17</v>
      </c>
      <c r="AI50" s="904"/>
      <c r="AJ50" s="904"/>
      <c r="AK50" s="904"/>
      <c r="AL50" s="904"/>
      <c r="AM50" s="953"/>
      <c r="AN50" s="953"/>
      <c r="AO50" s="904"/>
      <c r="AP50" s="904"/>
      <c r="AQ50" s="904"/>
      <c r="AR50" s="904"/>
      <c r="AS50" s="904"/>
      <c r="AT50" s="904"/>
      <c r="AU50" s="831"/>
      <c r="AV50" s="831"/>
      <c r="AW50" s="831"/>
      <c r="AX50" s="831"/>
      <c r="AY50" s="831"/>
      <c r="AZ50" s="831"/>
      <c r="BA50" s="831"/>
    </row>
    <row r="51" spans="2:53" ht="12" customHeight="1">
      <c r="B51" s="286" t="s">
        <v>80</v>
      </c>
      <c r="C51" s="107" t="s">
        <v>81</v>
      </c>
      <c r="D51" s="55"/>
      <c r="E51" s="108"/>
      <c r="F51" s="109"/>
      <c r="G51" s="109"/>
      <c r="H51" s="109"/>
      <c r="I51" s="109"/>
      <c r="J51" s="75"/>
      <c r="K51" s="75"/>
      <c r="L51" s="110"/>
      <c r="Z51" s="828"/>
      <c r="AA51" s="831"/>
      <c r="AB51" s="905" t="s">
        <v>261</v>
      </c>
      <c r="AC51" s="904"/>
      <c r="AD51" s="912">
        <f>AM5</f>
        <v>5</v>
      </c>
      <c r="AE51" s="912">
        <f t="shared" si="2"/>
        <v>5</v>
      </c>
      <c r="AF51" s="912">
        <f t="shared" si="2"/>
        <v>5</v>
      </c>
      <c r="AG51" s="912">
        <f t="shared" si="2"/>
        <v>5</v>
      </c>
      <c r="AH51" s="912">
        <f t="shared" si="2"/>
        <v>5</v>
      </c>
      <c r="AI51" s="904"/>
      <c r="AJ51" s="904"/>
      <c r="AK51" s="904"/>
      <c r="AL51" s="904"/>
      <c r="AM51" s="953"/>
      <c r="AN51" s="953"/>
      <c r="AO51" s="904"/>
      <c r="AP51" s="904"/>
      <c r="AQ51" s="904"/>
      <c r="AR51" s="904"/>
      <c r="AS51" s="904"/>
      <c r="AT51" s="904"/>
      <c r="AU51" s="831"/>
      <c r="AV51" s="831"/>
      <c r="AW51" s="831"/>
      <c r="AX51" s="831"/>
      <c r="AY51" s="831"/>
      <c r="AZ51" s="831"/>
      <c r="BA51" s="831"/>
    </row>
    <row r="52" spans="2:53" ht="12.75" customHeight="1">
      <c r="B52" s="293">
        <f>Subcontracts!$C$10</f>
        <v>0</v>
      </c>
      <c r="C52" s="1006">
        <f>IF(Subcontracts!$F$5&gt;=2,+'Year 1'!C52,)</f>
        <v>0</v>
      </c>
      <c r="D52" s="1010"/>
      <c r="E52" s="111">
        <f>IF(Subcontracts!$F$5&gt;=2,+'Year 1'!E52+('Year 1'!E52*$B$52/100),)</f>
        <v>0</v>
      </c>
      <c r="F52" s="1015">
        <f>IF(Subcontracts!$F$5&gt;=2,+'Year 1'!F52,)</f>
        <v>0</v>
      </c>
      <c r="G52" s="1010"/>
      <c r="H52" s="1010"/>
      <c r="I52" s="1010"/>
      <c r="J52" s="1010"/>
      <c r="K52" s="51">
        <f>IF(Subcontracts!$F$5&gt;=2,+'Year 1'!K52+('Year 1'!K52*$B$52/100),)</f>
        <v>0</v>
      </c>
      <c r="L52" s="112"/>
      <c r="AA52" s="831"/>
      <c r="AB52" s="905" t="s">
        <v>257</v>
      </c>
      <c r="AC52" s="904"/>
      <c r="AD52" s="912">
        <f>AM6</f>
        <v>59.38</v>
      </c>
      <c r="AE52" s="912">
        <f t="shared" si="2"/>
        <v>61.645</v>
      </c>
      <c r="AF52" s="912">
        <f t="shared" si="2"/>
        <v>64.05</v>
      </c>
      <c r="AG52" s="912">
        <f t="shared" si="2"/>
        <v>64.05</v>
      </c>
      <c r="AH52" s="912">
        <f t="shared" si="2"/>
        <v>64.05</v>
      </c>
      <c r="AI52" s="904"/>
      <c r="AJ52" s="904"/>
      <c r="AK52" s="904"/>
      <c r="AL52" s="904"/>
      <c r="AM52" s="953"/>
      <c r="AN52" s="953"/>
      <c r="AO52" s="904"/>
      <c r="AP52" s="904"/>
      <c r="AQ52" s="904"/>
      <c r="AR52" s="904"/>
      <c r="AS52" s="904"/>
      <c r="AT52" s="904"/>
      <c r="AU52" s="831"/>
      <c r="AV52" s="831"/>
      <c r="AW52" s="831"/>
      <c r="AX52" s="831"/>
      <c r="AY52" s="831"/>
      <c r="AZ52" s="831"/>
      <c r="BA52" s="831"/>
    </row>
    <row r="53" spans="2:53" ht="12.75" customHeight="1">
      <c r="B53" s="290"/>
      <c r="C53" s="1008">
        <f>IF(Subcontracts!$F$5&gt;=2,+'Year 1'!C53,)</f>
        <v>0</v>
      </c>
      <c r="D53" s="1009"/>
      <c r="E53" s="113">
        <f>IF(Subcontracts!$F$5&gt;=2,+'Year 1'!E53+('Year 1'!E53*$B$52/100),)</f>
        <v>0</v>
      </c>
      <c r="F53" s="1016">
        <f>IF(Subcontracts!$F$5&gt;=2,+'Year 1'!F53,)</f>
        <v>0</v>
      </c>
      <c r="G53" s="1009"/>
      <c r="H53" s="1009"/>
      <c r="I53" s="1009"/>
      <c r="J53" s="1009"/>
      <c r="K53" s="114">
        <f>IF(Subcontracts!$F$5&gt;=2,+'Year 1'!K53+('Year 1'!K53*$B$52/100),)</f>
        <v>0</v>
      </c>
      <c r="L53" s="115">
        <f>E52+E53+K52+K53</f>
        <v>0</v>
      </c>
      <c r="AA53" s="831"/>
      <c r="AB53" s="905" t="s">
        <v>262</v>
      </c>
      <c r="AC53" s="904"/>
      <c r="AD53" s="912">
        <f>AM8</f>
        <v>59.5</v>
      </c>
      <c r="AE53" s="912">
        <f>AN8</f>
        <v>59.5</v>
      </c>
      <c r="AF53" s="912">
        <f>AO8</f>
        <v>59.5</v>
      </c>
      <c r="AG53" s="912">
        <f>AP8</f>
        <v>59.5</v>
      </c>
      <c r="AH53" s="912">
        <f>AQ8</f>
        <v>59.5</v>
      </c>
      <c r="AI53" s="904"/>
      <c r="AJ53" s="904"/>
      <c r="AK53" s="904"/>
      <c r="AL53" s="904"/>
      <c r="AM53" s="953"/>
      <c r="AN53" s="953"/>
      <c r="AO53" s="904"/>
      <c r="AP53" s="904"/>
      <c r="AQ53" s="904"/>
      <c r="AR53" s="904"/>
      <c r="AS53" s="904"/>
      <c r="AT53" s="904"/>
      <c r="AU53" s="831"/>
      <c r="AV53" s="831"/>
      <c r="AW53" s="831"/>
      <c r="AX53" s="831"/>
      <c r="AY53" s="831"/>
      <c r="AZ53" s="831"/>
      <c r="BA53" s="831"/>
    </row>
    <row r="54" spans="2:53" ht="12" customHeight="1">
      <c r="B54" s="290"/>
      <c r="C54" s="116" t="s">
        <v>152</v>
      </c>
      <c r="D54" s="117"/>
      <c r="E54" s="118"/>
      <c r="F54" s="119"/>
      <c r="G54" s="119"/>
      <c r="H54" s="119"/>
      <c r="I54" s="119"/>
      <c r="J54" s="119"/>
      <c r="K54" s="119"/>
      <c r="L54" s="11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831"/>
      <c r="AB54" s="904"/>
      <c r="AC54" s="904"/>
      <c r="AD54" s="904"/>
      <c r="AE54" s="904"/>
      <c r="AF54" s="904"/>
      <c r="AG54" s="904"/>
      <c r="AH54" s="904"/>
      <c r="AI54" s="904"/>
      <c r="AJ54" s="904"/>
      <c r="AK54" s="904"/>
      <c r="AL54" s="904"/>
      <c r="AM54" s="953"/>
      <c r="AN54" s="953"/>
      <c r="AO54" s="904"/>
      <c r="AP54" s="904"/>
      <c r="AQ54" s="904"/>
      <c r="AR54" s="904"/>
      <c r="AS54" s="904"/>
      <c r="AT54" s="904"/>
      <c r="AU54" s="831"/>
      <c r="AV54" s="831"/>
      <c r="AW54" s="831"/>
      <c r="AX54" s="831"/>
      <c r="AY54" s="831"/>
      <c r="AZ54" s="831"/>
      <c r="BA54" s="831"/>
    </row>
    <row r="55" spans="2:53" ht="15" customHeight="1">
      <c r="B55" s="290"/>
      <c r="C55" s="1015"/>
      <c r="D55" s="1010"/>
      <c r="E55" s="111"/>
      <c r="F55" s="1017"/>
      <c r="G55" s="1007"/>
      <c r="H55" s="1007"/>
      <c r="I55" s="1007"/>
      <c r="J55" s="1007"/>
      <c r="K55" s="111"/>
      <c r="L55" s="121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831"/>
      <c r="AB55" s="904"/>
      <c r="AC55" s="904"/>
      <c r="AD55" s="904"/>
      <c r="AE55" s="904"/>
      <c r="AF55" s="904"/>
      <c r="AG55" s="904"/>
      <c r="AH55" s="904"/>
      <c r="AI55" s="904"/>
      <c r="AJ55" s="904"/>
      <c r="AK55" s="904"/>
      <c r="AL55" s="904"/>
      <c r="AM55" s="953"/>
      <c r="AN55" s="953"/>
      <c r="AO55" s="904"/>
      <c r="AP55" s="904"/>
      <c r="AQ55" s="904"/>
      <c r="AR55" s="904"/>
      <c r="AS55" s="904"/>
      <c r="AT55" s="904"/>
      <c r="AU55" s="831"/>
      <c r="AV55" s="831"/>
      <c r="AW55" s="831"/>
      <c r="AX55" s="831"/>
      <c r="AY55" s="831"/>
      <c r="AZ55" s="831"/>
      <c r="BA55" s="831"/>
    </row>
    <row r="56" spans="2:53" ht="13.5" customHeight="1">
      <c r="B56" s="290"/>
      <c r="C56" s="1015"/>
      <c r="D56" s="1010"/>
      <c r="E56" s="111"/>
      <c r="F56" s="1017"/>
      <c r="G56" s="1007"/>
      <c r="H56" s="1007"/>
      <c r="I56" s="1007"/>
      <c r="J56" s="1007"/>
      <c r="K56" s="111"/>
      <c r="L56" s="112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831"/>
      <c r="AB56" s="904"/>
      <c r="AC56" s="904"/>
      <c r="AD56" s="904"/>
      <c r="AE56" s="904"/>
      <c r="AF56" s="904"/>
      <c r="AG56" s="904"/>
      <c r="AH56" s="904"/>
      <c r="AI56" s="904"/>
      <c r="AJ56" s="904"/>
      <c r="AK56" s="904"/>
      <c r="AL56" s="904"/>
      <c r="AM56" s="953"/>
      <c r="AN56" s="953"/>
      <c r="AO56" s="904"/>
      <c r="AP56" s="904"/>
      <c r="AQ56" s="904"/>
      <c r="AR56" s="904"/>
      <c r="AS56" s="904"/>
      <c r="AT56" s="904"/>
      <c r="AU56" s="831"/>
      <c r="AV56" s="831"/>
      <c r="AW56" s="831"/>
      <c r="AX56" s="831"/>
      <c r="AY56" s="831"/>
      <c r="AZ56" s="831"/>
      <c r="BA56" s="831"/>
    </row>
    <row r="57" spans="2:53" ht="15" customHeight="1">
      <c r="B57" s="290"/>
      <c r="C57" s="1013"/>
      <c r="D57" s="1014"/>
      <c r="E57" s="113"/>
      <c r="F57" s="1013"/>
      <c r="G57" s="1014"/>
      <c r="H57" s="1014"/>
      <c r="I57" s="1014"/>
      <c r="J57" s="1014"/>
      <c r="K57" s="113"/>
      <c r="L57" s="115">
        <f>E55+E56+E57+K55+K56+K57</f>
        <v>0</v>
      </c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831"/>
      <c r="AB57" s="905" t="s">
        <v>391</v>
      </c>
      <c r="AC57" s="904"/>
      <c r="AD57" s="911"/>
      <c r="AE57" s="911"/>
      <c r="AF57" s="911"/>
      <c r="AG57" s="911"/>
      <c r="AH57" s="911"/>
      <c r="AI57" s="904"/>
      <c r="AJ57" s="904"/>
      <c r="AK57" s="904"/>
      <c r="AL57" s="904"/>
      <c r="AM57" s="953"/>
      <c r="AN57" s="953"/>
      <c r="AO57" s="904"/>
      <c r="AP57" s="904"/>
      <c r="AQ57" s="904"/>
      <c r="AR57" s="904"/>
      <c r="AS57" s="904"/>
      <c r="AT57" s="904"/>
      <c r="AU57" s="831"/>
      <c r="AV57" s="831"/>
      <c r="AW57" s="831"/>
      <c r="AX57" s="831"/>
      <c r="AY57" s="831"/>
      <c r="AZ57" s="831"/>
      <c r="BA57" s="831"/>
    </row>
    <row r="58" spans="2:53" ht="12" customHeight="1">
      <c r="B58" s="287" t="s">
        <v>80</v>
      </c>
      <c r="C58" s="116" t="s">
        <v>153</v>
      </c>
      <c r="D58" s="65"/>
      <c r="E58" s="43"/>
      <c r="F58" s="118"/>
      <c r="G58" s="43"/>
      <c r="H58" s="43"/>
      <c r="I58" s="43"/>
      <c r="J58" s="43"/>
      <c r="K58" s="43"/>
      <c r="L58" s="110"/>
      <c r="AA58" s="831"/>
      <c r="AB58" s="905" t="s">
        <v>471</v>
      </c>
      <c r="AC58" s="904"/>
      <c r="AD58" s="911"/>
      <c r="AE58" s="911"/>
      <c r="AF58" s="911"/>
      <c r="AG58" s="911"/>
      <c r="AH58" s="911"/>
      <c r="AI58" s="904"/>
      <c r="AJ58" s="904"/>
      <c r="AK58" s="904"/>
      <c r="AL58" s="904"/>
      <c r="AM58" s="953"/>
      <c r="AN58" s="953"/>
      <c r="AO58" s="904"/>
      <c r="AP58" s="904"/>
      <c r="AQ58" s="904"/>
      <c r="AR58" s="904"/>
      <c r="AS58" s="904"/>
      <c r="AT58" s="904"/>
      <c r="AU58" s="831"/>
      <c r="AV58" s="831"/>
      <c r="AW58" s="831"/>
      <c r="AX58" s="831"/>
      <c r="AY58" s="831"/>
      <c r="AZ58" s="831"/>
      <c r="BA58" s="831"/>
    </row>
    <row r="59" spans="2:53" ht="15" customHeight="1">
      <c r="B59" s="293">
        <f>Subcontracts!$C$10</f>
        <v>0</v>
      </c>
      <c r="C59" s="1006">
        <f>IF(Subcontracts!$F$5&gt;=2,+'Year 1'!C59,)</f>
        <v>0</v>
      </c>
      <c r="D59" s="1010"/>
      <c r="E59" s="111">
        <f>IF(Subcontracts!$F$5&gt;=2,+'Year 1'!E59+('Year 1'!E59*$B$59/100),)</f>
        <v>0</v>
      </c>
      <c r="F59" s="1006">
        <f>IF(Subcontracts!$F$5&gt;=2,+'Year 1'!F59,)</f>
        <v>0</v>
      </c>
      <c r="G59" s="1007"/>
      <c r="H59" s="1007"/>
      <c r="I59" s="1007"/>
      <c r="J59" s="1007"/>
      <c r="K59" s="111">
        <f>IF(Subcontracts!$F$5&gt;=2,+'Year 1'!K59+('Year 1'!K59*$B$59/100),)</f>
        <v>0</v>
      </c>
      <c r="L59" s="112"/>
      <c r="M59" s="49"/>
      <c r="N59" s="49"/>
      <c r="O59" s="49"/>
      <c r="P59" s="49"/>
      <c r="Q59" s="49"/>
      <c r="AA59" s="831"/>
      <c r="AB59" s="905"/>
      <c r="AC59" s="904"/>
      <c r="AD59" s="912" t="s">
        <v>384</v>
      </c>
      <c r="AE59" s="912" t="s">
        <v>385</v>
      </c>
      <c r="AF59" s="912" t="s">
        <v>386</v>
      </c>
      <c r="AG59" s="912" t="s">
        <v>387</v>
      </c>
      <c r="AH59" s="912" t="s">
        <v>388</v>
      </c>
      <c r="AI59" s="904"/>
      <c r="AJ59" s="904"/>
      <c r="AK59" s="904"/>
      <c r="AL59" s="904"/>
      <c r="AM59" s="953"/>
      <c r="AN59" s="953"/>
      <c r="AO59" s="904"/>
      <c r="AP59" s="904"/>
      <c r="AQ59" s="904"/>
      <c r="AR59" s="904"/>
      <c r="AS59" s="904"/>
      <c r="AT59" s="904"/>
      <c r="AU59" s="831"/>
      <c r="AV59" s="831"/>
      <c r="AW59" s="831"/>
      <c r="AX59" s="831"/>
      <c r="AY59" s="831"/>
      <c r="AZ59" s="831"/>
      <c r="BA59" s="831"/>
    </row>
    <row r="60" spans="2:53" ht="15" customHeight="1">
      <c r="B60" s="290"/>
      <c r="C60" s="1006">
        <f>IF(Subcontracts!$F$5&gt;=2,+'Year 1'!C60,)</f>
        <v>0</v>
      </c>
      <c r="D60" s="1010"/>
      <c r="E60" s="111">
        <f>IF(Subcontracts!$F$5&gt;=2,+'Year 1'!E60+('Year 1'!E60*$B$59/100),)</f>
        <v>0</v>
      </c>
      <c r="F60" s="1006">
        <f>IF(Subcontracts!$F$5&gt;=2,+'Year 1'!F60,)</f>
        <v>0</v>
      </c>
      <c r="G60" s="1007"/>
      <c r="H60" s="1007"/>
      <c r="I60" s="1007"/>
      <c r="J60" s="1007"/>
      <c r="K60" s="111">
        <f>IF(Subcontracts!$F$5&gt;=2,+'Year 1'!K60+('Year 1'!K60*$B$59/100),)</f>
        <v>0</v>
      </c>
      <c r="L60" s="112"/>
      <c r="AA60" s="831"/>
      <c r="AB60" s="905" t="s">
        <v>258</v>
      </c>
      <c r="AC60" s="904"/>
      <c r="AD60" s="912">
        <f>AN2</f>
        <v>49</v>
      </c>
      <c r="AE60" s="912">
        <f aca="true" t="shared" si="3" ref="AE60:AH64">AO2</f>
        <v>49</v>
      </c>
      <c r="AF60" s="912">
        <f t="shared" si="3"/>
        <v>49</v>
      </c>
      <c r="AG60" s="912">
        <f t="shared" si="3"/>
        <v>49</v>
      </c>
      <c r="AH60" s="912">
        <f t="shared" si="3"/>
        <v>49</v>
      </c>
      <c r="AI60" s="904"/>
      <c r="AJ60" s="904"/>
      <c r="AK60" s="904"/>
      <c r="AL60" s="904"/>
      <c r="AM60" s="953"/>
      <c r="AN60" s="953"/>
      <c r="AO60" s="904"/>
      <c r="AP60" s="904"/>
      <c r="AQ60" s="904"/>
      <c r="AR60" s="904"/>
      <c r="AS60" s="904"/>
      <c r="AT60" s="904"/>
      <c r="AU60" s="831"/>
      <c r="AV60" s="831"/>
      <c r="AW60" s="831"/>
      <c r="AX60" s="831"/>
      <c r="AY60" s="831"/>
      <c r="AZ60" s="831"/>
      <c r="BA60" s="831"/>
    </row>
    <row r="61" spans="2:53" ht="15.75" customHeight="1">
      <c r="B61" s="290"/>
      <c r="C61" s="1006">
        <f>IF(Subcontracts!$F$5&gt;=2,+'Year 1'!C61,)</f>
        <v>0</v>
      </c>
      <c r="D61" s="1010"/>
      <c r="E61" s="111">
        <f>IF(Subcontracts!$F$5&gt;=2,+'Year 1'!E61+('Year 1'!E61*$B$59/100),)</f>
        <v>0</v>
      </c>
      <c r="F61" s="1006">
        <f>IF(Subcontracts!$F$5&gt;=2,+'Year 1'!F61,)</f>
        <v>0</v>
      </c>
      <c r="G61" s="1007"/>
      <c r="H61" s="1007"/>
      <c r="I61" s="1007"/>
      <c r="J61" s="1007"/>
      <c r="K61" s="111">
        <f>IF(Subcontracts!$F$5&gt;=2,+'Year 1'!K61+('Year 1'!K61*$B$59/100),)</f>
        <v>0</v>
      </c>
      <c r="L61" s="121"/>
      <c r="AA61" s="831"/>
      <c r="AB61" s="905" t="s">
        <v>259</v>
      </c>
      <c r="AC61" s="904"/>
      <c r="AD61" s="912">
        <f>AN3</f>
        <v>15</v>
      </c>
      <c r="AE61" s="912">
        <f t="shared" si="3"/>
        <v>15</v>
      </c>
      <c r="AF61" s="912">
        <f t="shared" si="3"/>
        <v>15</v>
      </c>
      <c r="AG61" s="912">
        <f t="shared" si="3"/>
        <v>15</v>
      </c>
      <c r="AH61" s="912">
        <f t="shared" si="3"/>
        <v>15</v>
      </c>
      <c r="AI61" s="904"/>
      <c r="AJ61" s="904"/>
      <c r="AK61" s="904"/>
      <c r="AL61" s="904"/>
      <c r="AM61" s="953"/>
      <c r="AN61" s="953"/>
      <c r="AO61" s="904"/>
      <c r="AP61" s="904"/>
      <c r="AQ61" s="904"/>
      <c r="AR61" s="904"/>
      <c r="AS61" s="904"/>
      <c r="AT61" s="904"/>
      <c r="AU61" s="831"/>
      <c r="AV61" s="831"/>
      <c r="AW61" s="831"/>
      <c r="AX61" s="831"/>
      <c r="AY61" s="831"/>
      <c r="AZ61" s="831"/>
      <c r="BA61" s="831"/>
    </row>
    <row r="62" spans="2:53" ht="15" customHeight="1">
      <c r="B62" s="290"/>
      <c r="C62" s="1006">
        <f>IF(Subcontracts!$F$5&gt;=2,+'Year 1'!C62,)</f>
        <v>0</v>
      </c>
      <c r="D62" s="1010"/>
      <c r="E62" s="111">
        <f>IF(Subcontracts!$F$5&gt;=2,+'Year 1'!E62+('Year 1'!E62*$B$59/100),)</f>
        <v>0</v>
      </c>
      <c r="F62" s="1006">
        <f>IF(Subcontracts!$F$5&gt;=2,+'Year 1'!F62,)</f>
        <v>0</v>
      </c>
      <c r="G62" s="1007"/>
      <c r="H62" s="1007"/>
      <c r="I62" s="1007"/>
      <c r="J62" s="1007"/>
      <c r="K62" s="111">
        <f>IF(Subcontracts!$F$5&gt;=2,+'Year 1'!K62+('Year 1'!K62*$B$59/100),)</f>
        <v>0</v>
      </c>
      <c r="L62" s="112"/>
      <c r="AA62" s="831"/>
      <c r="AB62" s="905" t="s">
        <v>260</v>
      </c>
      <c r="AC62" s="904"/>
      <c r="AD62" s="912">
        <f>AN4</f>
        <v>17</v>
      </c>
      <c r="AE62" s="912">
        <f t="shared" si="3"/>
        <v>17</v>
      </c>
      <c r="AF62" s="912">
        <f t="shared" si="3"/>
        <v>17</v>
      </c>
      <c r="AG62" s="912">
        <f t="shared" si="3"/>
        <v>17</v>
      </c>
      <c r="AH62" s="912">
        <f t="shared" si="3"/>
        <v>17</v>
      </c>
      <c r="AI62" s="904"/>
      <c r="AJ62" s="904"/>
      <c r="AK62" s="904"/>
      <c r="AL62" s="904"/>
      <c r="AM62" s="953"/>
      <c r="AN62" s="953"/>
      <c r="AO62" s="904"/>
      <c r="AP62" s="904"/>
      <c r="AQ62" s="904"/>
      <c r="AR62" s="904"/>
      <c r="AS62" s="904"/>
      <c r="AT62" s="904"/>
      <c r="AU62" s="831"/>
      <c r="AV62" s="831"/>
      <c r="AW62" s="831"/>
      <c r="AX62" s="831"/>
      <c r="AY62" s="831"/>
      <c r="AZ62" s="831"/>
      <c r="BA62" s="831"/>
    </row>
    <row r="63" spans="2:53" ht="15" customHeight="1">
      <c r="B63" s="290"/>
      <c r="C63" s="1006">
        <f>IF(Subcontracts!$F$5&gt;=2,+'Year 1'!C63,)</f>
        <v>0</v>
      </c>
      <c r="D63" s="1010"/>
      <c r="E63" s="111">
        <f>IF(Subcontracts!$F$5&gt;=2,+'Year 1'!E63+('Year 1'!E63*$B$59/100),)</f>
        <v>0</v>
      </c>
      <c r="F63" s="1006">
        <f>IF(Subcontracts!$F$5&gt;=2,+'Year 1'!F63,)</f>
        <v>0</v>
      </c>
      <c r="G63" s="1007"/>
      <c r="H63" s="1007"/>
      <c r="I63" s="1007"/>
      <c r="J63" s="1007"/>
      <c r="K63" s="111">
        <f>IF(Subcontracts!$F$5&gt;=2,+'Year 1'!K63+('Year 1'!K63*$B$59/100),)</f>
        <v>0</v>
      </c>
      <c r="L63" s="112"/>
      <c r="AA63" s="831"/>
      <c r="AB63" s="905" t="s">
        <v>261</v>
      </c>
      <c r="AC63" s="904"/>
      <c r="AD63" s="912">
        <f>AN5</f>
        <v>5</v>
      </c>
      <c r="AE63" s="912">
        <f t="shared" si="3"/>
        <v>5</v>
      </c>
      <c r="AF63" s="912">
        <f t="shared" si="3"/>
        <v>5</v>
      </c>
      <c r="AG63" s="912">
        <f t="shared" si="3"/>
        <v>5</v>
      </c>
      <c r="AH63" s="912">
        <f t="shared" si="3"/>
        <v>5</v>
      </c>
      <c r="AI63" s="904"/>
      <c r="AJ63" s="904"/>
      <c r="AK63" s="904"/>
      <c r="AL63" s="904"/>
      <c r="AM63" s="953"/>
      <c r="AN63" s="953"/>
      <c r="AO63" s="904"/>
      <c r="AP63" s="904"/>
      <c r="AQ63" s="904"/>
      <c r="AR63" s="904"/>
      <c r="AS63" s="904"/>
      <c r="AT63" s="904"/>
      <c r="AU63" s="831"/>
      <c r="AV63" s="831"/>
      <c r="AW63" s="831"/>
      <c r="AX63" s="831"/>
      <c r="AY63" s="831"/>
      <c r="AZ63" s="831"/>
      <c r="BA63" s="831"/>
    </row>
    <row r="64" spans="2:53" ht="15" customHeight="1">
      <c r="B64" s="290"/>
      <c r="C64" s="1008">
        <f>IF(Subcontracts!$F$5&gt;=2,+'Year 1'!C64,)</f>
        <v>0</v>
      </c>
      <c r="D64" s="1009"/>
      <c r="E64" s="113">
        <f>IF(Subcontracts!$F$5&gt;=2,+'Year 1'!E64+('Year 1'!E64*$B$59/100),)</f>
        <v>0</v>
      </c>
      <c r="F64" s="1008">
        <f>IF(Subcontracts!$F$5&gt;=2,+'Year 1'!F64,)</f>
        <v>0</v>
      </c>
      <c r="G64" s="1009"/>
      <c r="H64" s="1009"/>
      <c r="I64" s="1009"/>
      <c r="J64" s="1009"/>
      <c r="K64" s="113">
        <f>IF(Subcontracts!$F$5&gt;=2,+'Year 1'!K64+('Year 1'!K64*$B$59/100),)</f>
        <v>0</v>
      </c>
      <c r="L64" s="115">
        <f>SUM(E59:E64)+SUM(K59:K64)</f>
        <v>0</v>
      </c>
      <c r="AA64" s="831"/>
      <c r="AB64" s="905" t="s">
        <v>257</v>
      </c>
      <c r="AC64" s="904"/>
      <c r="AD64" s="912">
        <f>AN6</f>
        <v>61.645</v>
      </c>
      <c r="AE64" s="912">
        <f t="shared" si="3"/>
        <v>64.05</v>
      </c>
      <c r="AF64" s="912">
        <f t="shared" si="3"/>
        <v>64.05</v>
      </c>
      <c r="AG64" s="912">
        <f t="shared" si="3"/>
        <v>64.05</v>
      </c>
      <c r="AH64" s="912">
        <f t="shared" si="3"/>
        <v>64.05</v>
      </c>
      <c r="AI64" s="904"/>
      <c r="AJ64" s="904"/>
      <c r="AK64" s="904"/>
      <c r="AL64" s="904"/>
      <c r="AM64" s="953"/>
      <c r="AN64" s="953"/>
      <c r="AO64" s="904"/>
      <c r="AP64" s="904"/>
      <c r="AQ64" s="904"/>
      <c r="AR64" s="904"/>
      <c r="AS64" s="904"/>
      <c r="AT64" s="904"/>
      <c r="AU64" s="831"/>
      <c r="AV64" s="831"/>
      <c r="AW64" s="831"/>
      <c r="AX64" s="831"/>
      <c r="AY64" s="831"/>
      <c r="AZ64" s="831"/>
      <c r="BA64" s="831"/>
    </row>
    <row r="65" spans="2:53" ht="12" customHeight="1">
      <c r="B65" s="287" t="s">
        <v>80</v>
      </c>
      <c r="C65" s="116" t="s">
        <v>72</v>
      </c>
      <c r="D65" s="65"/>
      <c r="E65" s="43"/>
      <c r="F65" s="118"/>
      <c r="G65" s="43"/>
      <c r="H65" s="43"/>
      <c r="I65" s="43"/>
      <c r="J65" s="43"/>
      <c r="K65" s="43"/>
      <c r="L65" s="110"/>
      <c r="AA65" s="831"/>
      <c r="AB65" s="905" t="s">
        <v>262</v>
      </c>
      <c r="AC65" s="904"/>
      <c r="AD65" s="912">
        <f>AN8</f>
        <v>59.5</v>
      </c>
      <c r="AE65" s="912">
        <f>AO8</f>
        <v>59.5</v>
      </c>
      <c r="AF65" s="912">
        <f>AP8</f>
        <v>59.5</v>
      </c>
      <c r="AG65" s="912">
        <f>AQ8</f>
        <v>59.5</v>
      </c>
      <c r="AH65" s="912">
        <f>AR8</f>
        <v>59.5</v>
      </c>
      <c r="AI65" s="904"/>
      <c r="AJ65" s="904"/>
      <c r="AK65" s="904"/>
      <c r="AL65" s="904"/>
      <c r="AM65" s="953"/>
      <c r="AN65" s="953"/>
      <c r="AO65" s="904"/>
      <c r="AP65" s="904"/>
      <c r="AQ65" s="904"/>
      <c r="AR65" s="904"/>
      <c r="AS65" s="904"/>
      <c r="AT65" s="904"/>
      <c r="AU65" s="831"/>
      <c r="AV65" s="831"/>
      <c r="AW65" s="831"/>
      <c r="AX65" s="831"/>
      <c r="AY65" s="831"/>
      <c r="AZ65" s="831"/>
      <c r="BA65" s="831"/>
    </row>
    <row r="66" spans="2:53" ht="13.5" customHeight="1">
      <c r="B66" s="293">
        <f>Subcontracts!$C$10</f>
        <v>0</v>
      </c>
      <c r="C66" s="1011">
        <f>IF(Subcontracts!$F$5&gt;=2,+'Year 1'!C66,)</f>
        <v>0</v>
      </c>
      <c r="D66" s="1058"/>
      <c r="E66" s="885">
        <f>IF(Subcontracts!$F$5&gt;=2,+'Year 1'!E66+('Year 1'!E66*$B$66/100),)</f>
        <v>0</v>
      </c>
      <c r="F66" s="122"/>
      <c r="G66" s="122"/>
      <c r="H66" s="122"/>
      <c r="I66" s="122"/>
      <c r="J66" s="123"/>
      <c r="K66" s="123"/>
      <c r="L66" s="115">
        <f>+E66</f>
        <v>0</v>
      </c>
      <c r="AA66" s="831"/>
      <c r="AB66" s="904"/>
      <c r="AC66" s="904"/>
      <c r="AD66" s="904"/>
      <c r="AE66" s="904"/>
      <c r="AF66" s="904"/>
      <c r="AG66" s="904"/>
      <c r="AH66" s="904"/>
      <c r="AI66" s="904"/>
      <c r="AJ66" s="904"/>
      <c r="AK66" s="904"/>
      <c r="AL66" s="904"/>
      <c r="AM66" s="953"/>
      <c r="AN66" s="953"/>
      <c r="AO66" s="904"/>
      <c r="AP66" s="904"/>
      <c r="AQ66" s="904"/>
      <c r="AR66" s="904"/>
      <c r="AS66" s="904"/>
      <c r="AT66" s="904"/>
      <c r="AU66" s="831"/>
      <c r="AV66" s="831"/>
      <c r="AW66" s="831"/>
      <c r="AX66" s="831"/>
      <c r="AY66" s="831"/>
      <c r="AZ66" s="831"/>
      <c r="BA66" s="831"/>
    </row>
    <row r="67" spans="2:53" ht="15.75" customHeight="1">
      <c r="B67" s="178"/>
      <c r="C67" s="116" t="s">
        <v>404</v>
      </c>
      <c r="D67" s="65"/>
      <c r="E67" s="887"/>
      <c r="F67" s="113"/>
      <c r="G67" s="125"/>
      <c r="H67" s="125"/>
      <c r="I67" s="125"/>
      <c r="J67" s="126"/>
      <c r="K67" s="126"/>
      <c r="L67" s="127"/>
      <c r="AA67" s="831"/>
      <c r="AB67" s="904"/>
      <c r="AC67" s="904"/>
      <c r="AD67" s="904"/>
      <c r="AE67" s="904"/>
      <c r="AF67" s="904"/>
      <c r="AG67" s="904"/>
      <c r="AH67" s="904"/>
      <c r="AI67" s="904"/>
      <c r="AJ67" s="904"/>
      <c r="AK67" s="904"/>
      <c r="AL67" s="904"/>
      <c r="AM67" s="953"/>
      <c r="AN67" s="953"/>
      <c r="AO67" s="904"/>
      <c r="AP67" s="904"/>
      <c r="AQ67" s="904"/>
      <c r="AR67" s="904"/>
      <c r="AS67" s="904"/>
      <c r="AT67" s="904"/>
      <c r="AU67" s="831"/>
      <c r="AV67" s="831"/>
      <c r="AW67" s="831"/>
      <c r="AX67" s="831"/>
      <c r="AY67" s="831"/>
      <c r="AZ67" s="831"/>
      <c r="BA67" s="831"/>
    </row>
    <row r="68" spans="2:52" ht="15.75" customHeight="1">
      <c r="B68" s="124"/>
      <c r="C68" s="890" t="s">
        <v>405</v>
      </c>
      <c r="D68" s="888"/>
      <c r="E68" s="889"/>
      <c r="F68" s="129"/>
      <c r="G68" s="125"/>
      <c r="H68" s="125"/>
      <c r="I68" s="125"/>
      <c r="J68" s="126"/>
      <c r="K68" s="126"/>
      <c r="L68" s="127"/>
      <c r="AA68" s="828"/>
      <c r="AB68" s="953"/>
      <c r="AC68" s="953"/>
      <c r="AD68" s="953"/>
      <c r="AE68" s="953"/>
      <c r="AF68" s="953"/>
      <c r="AG68" s="953"/>
      <c r="AH68" s="953"/>
      <c r="AI68" s="953"/>
      <c r="AJ68" s="953"/>
      <c r="AK68" s="953"/>
      <c r="AL68" s="953"/>
      <c r="AM68" s="953"/>
      <c r="AN68" s="953"/>
      <c r="AO68" s="904"/>
      <c r="AP68" s="904"/>
      <c r="AQ68" s="904"/>
      <c r="AR68" s="904"/>
      <c r="AS68" s="904"/>
      <c r="AT68" s="904"/>
      <c r="AU68" s="831"/>
      <c r="AV68" s="831"/>
      <c r="AW68" s="831"/>
      <c r="AX68" s="831"/>
      <c r="AY68" s="831"/>
      <c r="AZ68" s="831"/>
    </row>
    <row r="69" spans="2:52" ht="12" customHeight="1">
      <c r="B69" s="178"/>
      <c r="C69" s="116" t="s">
        <v>150</v>
      </c>
      <c r="D69" s="65"/>
      <c r="E69" s="43"/>
      <c r="F69" s="130"/>
      <c r="G69" s="131"/>
      <c r="H69" s="131"/>
      <c r="I69" s="131"/>
      <c r="J69" s="43"/>
      <c r="K69" s="43"/>
      <c r="L69" s="110"/>
      <c r="AA69" s="828"/>
      <c r="AB69" s="953"/>
      <c r="AC69" s="953"/>
      <c r="AD69" s="953"/>
      <c r="AE69" s="953"/>
      <c r="AF69" s="953"/>
      <c r="AG69" s="953"/>
      <c r="AH69" s="953"/>
      <c r="AI69" s="953"/>
      <c r="AJ69" s="953"/>
      <c r="AK69" s="953"/>
      <c r="AL69" s="953"/>
      <c r="AM69" s="953"/>
      <c r="AN69" s="953"/>
      <c r="AO69" s="904"/>
      <c r="AP69" s="904"/>
      <c r="AQ69" s="904"/>
      <c r="AR69" s="904"/>
      <c r="AS69" s="904"/>
      <c r="AT69" s="904"/>
      <c r="AU69" s="831"/>
      <c r="AV69" s="831"/>
      <c r="AW69" s="831"/>
      <c r="AX69" s="831"/>
      <c r="AY69" s="831"/>
      <c r="AZ69" s="831"/>
    </row>
    <row r="70" spans="2:52" ht="12.75" customHeight="1">
      <c r="B70" s="178"/>
      <c r="C70" s="129"/>
      <c r="D70" s="132"/>
      <c r="E70" s="129"/>
      <c r="F70" s="122"/>
      <c r="G70" s="122"/>
      <c r="H70" s="122"/>
      <c r="I70" s="122"/>
      <c r="J70" s="123"/>
      <c r="K70" s="123"/>
      <c r="L70" s="115">
        <f>+E70</f>
        <v>0</v>
      </c>
      <c r="AA70" s="831"/>
      <c r="AB70" s="953"/>
      <c r="AC70" s="953"/>
      <c r="AD70" s="953"/>
      <c r="AE70" s="953"/>
      <c r="AF70" s="953"/>
      <c r="AG70" s="953"/>
      <c r="AH70" s="953"/>
      <c r="AI70" s="953"/>
      <c r="AJ70" s="953"/>
      <c r="AK70" s="953"/>
      <c r="AL70" s="953"/>
      <c r="AM70" s="953"/>
      <c r="AN70" s="953"/>
      <c r="AO70" s="904"/>
      <c r="AP70" s="904"/>
      <c r="AQ70" s="904"/>
      <c r="AR70" s="904"/>
      <c r="AS70" s="904"/>
      <c r="AT70" s="904"/>
      <c r="AU70" s="831"/>
      <c r="AV70" s="831"/>
      <c r="AW70" s="831"/>
      <c r="AX70" s="831"/>
      <c r="AY70" s="831"/>
      <c r="AZ70" s="831"/>
    </row>
    <row r="71" spans="2:52" ht="20.25" customHeight="1">
      <c r="B71" s="288" t="s">
        <v>80</v>
      </c>
      <c r="C71" s="285" t="s">
        <v>154</v>
      </c>
      <c r="D71" s="65"/>
      <c r="E71" s="43"/>
      <c r="F71" s="118"/>
      <c r="G71" s="43"/>
      <c r="H71" s="43"/>
      <c r="I71" s="131"/>
      <c r="J71" s="43"/>
      <c r="K71" s="43"/>
      <c r="L71" s="110"/>
      <c r="AA71" s="831"/>
      <c r="AB71" s="953"/>
      <c r="AC71" s="953"/>
      <c r="AD71" s="953"/>
      <c r="AE71" s="953"/>
      <c r="AF71" s="953"/>
      <c r="AG71" s="953"/>
      <c r="AH71" s="953"/>
      <c r="AI71" s="953"/>
      <c r="AJ71" s="953"/>
      <c r="AK71" s="953"/>
      <c r="AL71" s="953"/>
      <c r="AM71" s="953"/>
      <c r="AN71" s="953"/>
      <c r="AO71" s="904"/>
      <c r="AP71" s="904"/>
      <c r="AQ71" s="904"/>
      <c r="AR71" s="904"/>
      <c r="AS71" s="904"/>
      <c r="AT71" s="904"/>
      <c r="AU71" s="831"/>
      <c r="AV71" s="831"/>
      <c r="AW71" s="831"/>
      <c r="AX71" s="831"/>
      <c r="AY71" s="831"/>
      <c r="AZ71" s="831"/>
    </row>
    <row r="72" spans="2:52" ht="12" customHeight="1">
      <c r="B72" s="577">
        <f>Subcontracts!$C$10</f>
        <v>0</v>
      </c>
      <c r="C72" s="1006">
        <f>IF(D78&gt;0,"Tuition",)</f>
        <v>0</v>
      </c>
      <c r="D72" s="1010"/>
      <c r="E72" s="111">
        <f>IF(D78&gt;0,D78,)</f>
        <v>0</v>
      </c>
      <c r="F72" s="1006">
        <f>IF(Subcontracts!$F$5&gt;=2,+'Year 1'!F72,)</f>
        <v>0</v>
      </c>
      <c r="G72" s="1007"/>
      <c r="H72" s="1007"/>
      <c r="I72" s="1007"/>
      <c r="J72" s="1007"/>
      <c r="K72" s="111">
        <f>IF(Subcontracts!$F$5&gt;=2,+'Year 1'!K72+('Year 1'!K72*$B$72/100),)</f>
        <v>0</v>
      </c>
      <c r="L72" s="112"/>
      <c r="AA72" s="831"/>
      <c r="AB72" s="953"/>
      <c r="AC72" s="953"/>
      <c r="AD72" s="953"/>
      <c r="AE72" s="953"/>
      <c r="AF72" s="953"/>
      <c r="AG72" s="953"/>
      <c r="AH72" s="953"/>
      <c r="AI72" s="953"/>
      <c r="AJ72" s="953"/>
      <c r="AK72" s="953"/>
      <c r="AL72" s="953"/>
      <c r="AM72" s="953"/>
      <c r="AN72" s="953"/>
      <c r="AO72" s="904"/>
      <c r="AP72" s="904"/>
      <c r="AQ72" s="904"/>
      <c r="AR72" s="904"/>
      <c r="AS72" s="904"/>
      <c r="AT72" s="904"/>
      <c r="AU72" s="831"/>
      <c r="AV72" s="831"/>
      <c r="AW72" s="831"/>
      <c r="AX72" s="831"/>
      <c r="AY72" s="831"/>
      <c r="AZ72" s="831"/>
    </row>
    <row r="73" spans="2:52" ht="12" customHeight="1">
      <c r="B73" s="178"/>
      <c r="C73" s="1006">
        <f>IF(Subcontracts!$F$5&gt;=2,+'Year 1'!C73,)</f>
        <v>0</v>
      </c>
      <c r="D73" s="1053"/>
      <c r="E73" s="111">
        <f>IF(Subcontracts!$F$5&gt;=2,+'Year 1'!E73+('Year 1'!E73*$B$72/100),)</f>
        <v>0</v>
      </c>
      <c r="F73" s="1006">
        <f>IF(Subcontracts!$F$5&gt;=2,+'Year 1'!F73,)</f>
        <v>0</v>
      </c>
      <c r="G73" s="1007"/>
      <c r="H73" s="1007"/>
      <c r="I73" s="1007"/>
      <c r="J73" s="1007"/>
      <c r="K73" s="111">
        <f>IF(Subcontracts!$F$5&gt;=2,+'Year 1'!K73+('Year 1'!K73*$B$72/100),)</f>
        <v>0</v>
      </c>
      <c r="L73" s="112"/>
      <c r="AA73" s="831"/>
      <c r="AB73" s="953"/>
      <c r="AC73" s="953"/>
      <c r="AD73" s="953"/>
      <c r="AE73" s="953"/>
      <c r="AF73" s="953"/>
      <c r="AG73" s="953"/>
      <c r="AH73" s="953"/>
      <c r="AI73" s="953"/>
      <c r="AJ73" s="953"/>
      <c r="AK73" s="953"/>
      <c r="AL73" s="953"/>
      <c r="AM73" s="953"/>
      <c r="AN73" s="953"/>
      <c r="AO73" s="904"/>
      <c r="AP73" s="904"/>
      <c r="AQ73" s="904"/>
      <c r="AR73" s="904"/>
      <c r="AS73" s="904"/>
      <c r="AT73" s="904"/>
      <c r="AU73" s="831"/>
      <c r="AV73" s="831"/>
      <c r="AW73" s="831"/>
      <c r="AX73" s="831"/>
      <c r="AY73" s="831"/>
      <c r="AZ73" s="831"/>
    </row>
    <row r="74" spans="2:52" ht="12" customHeight="1">
      <c r="B74" s="178"/>
      <c r="C74" s="1006">
        <f>IF(Subcontracts!$F$5&gt;=2,+'Year 1'!C74,)</f>
        <v>0</v>
      </c>
      <c r="D74" s="1053"/>
      <c r="E74" s="111">
        <f>IF(Subcontracts!$F$5&gt;=2,+'Year 1'!E74+('Year 1'!E74*$B$72/100),)</f>
        <v>0</v>
      </c>
      <c r="F74" s="1006">
        <f>IF(Subcontracts!$F$5&gt;=2,+'Year 1'!F74,)</f>
        <v>0</v>
      </c>
      <c r="G74" s="1007"/>
      <c r="H74" s="1007"/>
      <c r="I74" s="1007"/>
      <c r="J74" s="1007"/>
      <c r="K74" s="111">
        <f>IF(Subcontracts!$F$5&gt;=2,+'Year 1'!K74+('Year 1'!K74*$B$72/100),)</f>
        <v>0</v>
      </c>
      <c r="L74" s="112"/>
      <c r="AA74" s="831"/>
      <c r="AB74" s="953"/>
      <c r="AC74" s="953"/>
      <c r="AD74" s="953"/>
      <c r="AE74" s="953"/>
      <c r="AF74" s="953"/>
      <c r="AG74" s="953"/>
      <c r="AH74" s="953"/>
      <c r="AI74" s="953"/>
      <c r="AJ74" s="953"/>
      <c r="AK74" s="953"/>
      <c r="AL74" s="953"/>
      <c r="AM74" s="953"/>
      <c r="AN74" s="953"/>
      <c r="AO74" s="904"/>
      <c r="AP74" s="904"/>
      <c r="AQ74" s="904"/>
      <c r="AR74" s="904"/>
      <c r="AS74" s="904"/>
      <c r="AT74" s="904"/>
      <c r="AU74" s="831"/>
      <c r="AV74" s="831"/>
      <c r="AW74" s="831"/>
      <c r="AX74" s="831"/>
      <c r="AY74" s="831"/>
      <c r="AZ74" s="831"/>
    </row>
    <row r="75" spans="2:52" ht="12" customHeight="1">
      <c r="B75" s="178"/>
      <c r="C75" s="1006">
        <f>IF(Subcontracts!$F$5&gt;=2,+'Year 1'!C75,)</f>
        <v>0</v>
      </c>
      <c r="D75" s="1053"/>
      <c r="E75" s="111">
        <f>IF(Subcontracts!$F$5&gt;=2,+'Year 1'!E75+('Year 1'!E75*$B$72/100),)</f>
        <v>0</v>
      </c>
      <c r="F75" s="1006">
        <f>IF(Subcontracts!$F$5&gt;=2,+'Year 1'!F75,)</f>
        <v>0</v>
      </c>
      <c r="G75" s="1007"/>
      <c r="H75" s="1007"/>
      <c r="I75" s="1007"/>
      <c r="J75" s="1007"/>
      <c r="K75" s="111">
        <f>IF(Subcontracts!$F$5&gt;=2,+'Year 1'!K75+('Year 1'!K75*$B$72/100),)</f>
        <v>0</v>
      </c>
      <c r="L75" s="112"/>
      <c r="AA75" s="831"/>
      <c r="AB75" s="953"/>
      <c r="AC75" s="953"/>
      <c r="AD75" s="953"/>
      <c r="AE75" s="953"/>
      <c r="AF75" s="953"/>
      <c r="AG75" s="953"/>
      <c r="AH75" s="953"/>
      <c r="AI75" s="953"/>
      <c r="AJ75" s="953"/>
      <c r="AK75" s="953"/>
      <c r="AL75" s="953"/>
      <c r="AM75" s="953"/>
      <c r="AN75" s="953"/>
      <c r="AO75" s="904"/>
      <c r="AP75" s="904"/>
      <c r="AQ75" s="904"/>
      <c r="AR75" s="904"/>
      <c r="AS75" s="904"/>
      <c r="AT75" s="904"/>
      <c r="AU75" s="831"/>
      <c r="AV75" s="831"/>
      <c r="AW75" s="831"/>
      <c r="AX75" s="831"/>
      <c r="AY75" s="831"/>
      <c r="AZ75" s="831"/>
    </row>
    <row r="76" spans="2:52" ht="12" customHeight="1">
      <c r="B76" s="178"/>
      <c r="C76" s="1006">
        <f>IF(Subcontracts!$F$5&gt;=2,+'Year 1'!C76,)</f>
        <v>0</v>
      </c>
      <c r="D76" s="1053"/>
      <c r="E76" s="111">
        <f>IF(Subcontracts!$F$5&gt;=2,+'Year 1'!E76+('Year 1'!E76*$B$72/100),)</f>
        <v>0</v>
      </c>
      <c r="F76" s="1006">
        <f>IF(Subcontracts!$F$5&gt;=2,+'Year 1'!F76,)</f>
        <v>0</v>
      </c>
      <c r="G76" s="1007"/>
      <c r="H76" s="1007"/>
      <c r="I76" s="1007"/>
      <c r="J76" s="1007"/>
      <c r="K76" s="111">
        <f>IF(Subcontracts!$F$5&gt;=2,+'Year 1'!K76+('Year 1'!K76*$B$72/100),)</f>
        <v>0</v>
      </c>
      <c r="L76" s="112"/>
      <c r="AA76" s="831"/>
      <c r="AB76" s="953"/>
      <c r="AC76" s="953"/>
      <c r="AD76" s="953"/>
      <c r="AE76" s="953"/>
      <c r="AF76" s="953"/>
      <c r="AG76" s="953"/>
      <c r="AH76" s="953"/>
      <c r="AI76" s="953"/>
      <c r="AJ76" s="953"/>
      <c r="AK76" s="953"/>
      <c r="AL76" s="953"/>
      <c r="AM76" s="953"/>
      <c r="AN76" s="953"/>
      <c r="AO76" s="904"/>
      <c r="AP76" s="904"/>
      <c r="AQ76" s="904"/>
      <c r="AR76" s="904"/>
      <c r="AS76" s="904"/>
      <c r="AT76" s="904"/>
      <c r="AU76" s="831"/>
      <c r="AV76" s="831"/>
      <c r="AW76" s="831"/>
      <c r="AX76" s="831"/>
      <c r="AY76" s="831"/>
      <c r="AZ76" s="831"/>
    </row>
    <row r="77" spans="2:52" ht="12.75" customHeight="1">
      <c r="B77" s="178"/>
      <c r="C77" s="1008">
        <f>IF(Subcontracts!$F$5&gt;=2,+'Year 1'!C77,)</f>
        <v>0</v>
      </c>
      <c r="D77" s="1052"/>
      <c r="E77" s="111">
        <f>IF(Subcontracts!$F$5&gt;=2,+'Year 1'!E77+('Year 1'!E77*$B$72/100),)</f>
        <v>0</v>
      </c>
      <c r="F77" s="1008">
        <f>IF(Subcontracts!$F$5&gt;=2,+'Year 1'!F77,)</f>
        <v>0</v>
      </c>
      <c r="G77" s="1009"/>
      <c r="H77" s="1009"/>
      <c r="I77" s="1009"/>
      <c r="J77" s="1009"/>
      <c r="K77" s="111">
        <f>IF(Subcontracts!$F$5&gt;=2,+'Year 1'!K77+('Year 1'!K77*$B$72/100),)</f>
        <v>0</v>
      </c>
      <c r="L77" s="133">
        <f>SUM(E72:E77)+SUM(K72:K77)</f>
        <v>0</v>
      </c>
      <c r="AA77" s="831"/>
      <c r="AB77" s="953"/>
      <c r="AC77" s="953"/>
      <c r="AD77" s="953"/>
      <c r="AE77" s="953"/>
      <c r="AF77" s="953"/>
      <c r="AG77" s="953"/>
      <c r="AH77" s="953"/>
      <c r="AI77" s="953"/>
      <c r="AJ77" s="953"/>
      <c r="AK77" s="953"/>
      <c r="AL77" s="953"/>
      <c r="AM77" s="953"/>
      <c r="AN77" s="953"/>
      <c r="AO77" s="904"/>
      <c r="AP77" s="904"/>
      <c r="AQ77" s="831"/>
      <c r="AR77" s="831"/>
      <c r="AS77" s="831"/>
      <c r="AT77" s="831"/>
      <c r="AU77" s="831"/>
      <c r="AV77" s="831"/>
      <c r="AW77" s="831"/>
      <c r="AX77" s="831"/>
      <c r="AY77" s="831"/>
      <c r="AZ77" s="831"/>
    </row>
    <row r="78" spans="1:52" ht="12.75" customHeight="1">
      <c r="A78" s="95"/>
      <c r="B78" s="134"/>
      <c r="C78" s="135" t="s">
        <v>10</v>
      </c>
      <c r="D78" s="635">
        <f>IF(Subcontracts!F5&gt;=2,(Subcontracts!M30+Subcontracts!M45),)</f>
        <v>0</v>
      </c>
      <c r="E78" s="137"/>
      <c r="F78" s="138"/>
      <c r="G78" s="139"/>
      <c r="H78" s="139"/>
      <c r="I78" s="139"/>
      <c r="J78" s="140"/>
      <c r="K78" s="678"/>
      <c r="L78" s="625">
        <f>D78+J78</f>
        <v>0</v>
      </c>
      <c r="AA78" s="831"/>
      <c r="AB78" s="953"/>
      <c r="AC78" s="953"/>
      <c r="AD78" s="953"/>
      <c r="AE78" s="953"/>
      <c r="AF78" s="953"/>
      <c r="AG78" s="953"/>
      <c r="AH78" s="953"/>
      <c r="AI78" s="953"/>
      <c r="AJ78" s="953"/>
      <c r="AK78" s="953"/>
      <c r="AL78" s="953"/>
      <c r="AM78" s="953"/>
      <c r="AN78" s="953"/>
      <c r="AO78" s="904"/>
      <c r="AP78" s="904"/>
      <c r="AQ78" s="831"/>
      <c r="AR78" s="831"/>
      <c r="AS78" s="831"/>
      <c r="AT78" s="831"/>
      <c r="AU78" s="831"/>
      <c r="AV78" s="831"/>
      <c r="AW78" s="831"/>
      <c r="AX78" s="831"/>
      <c r="AY78" s="831"/>
      <c r="AZ78" s="831"/>
    </row>
    <row r="79" spans="1:52" ht="14.25" customHeight="1" thickBot="1">
      <c r="A79" s="95"/>
      <c r="B79" s="143"/>
      <c r="C79" s="116" t="s">
        <v>291</v>
      </c>
      <c r="D79" s="636"/>
      <c r="E79" s="639"/>
      <c r="F79" s="636"/>
      <c r="G79" s="641"/>
      <c r="H79" s="636"/>
      <c r="I79" s="636"/>
      <c r="J79" s="636"/>
      <c r="K79" s="640" t="s">
        <v>73</v>
      </c>
      <c r="L79" s="677">
        <f>+Subcontracts!D60</f>
        <v>0</v>
      </c>
      <c r="AA79" s="831"/>
      <c r="AB79" s="953"/>
      <c r="AC79" s="953"/>
      <c r="AD79" s="953"/>
      <c r="AE79" s="953"/>
      <c r="AF79" s="953"/>
      <c r="AG79" s="953"/>
      <c r="AH79" s="953"/>
      <c r="AI79" s="953"/>
      <c r="AJ79" s="953"/>
      <c r="AK79" s="953"/>
      <c r="AL79" s="953"/>
      <c r="AM79" s="953"/>
      <c r="AN79" s="953"/>
      <c r="AO79" s="904"/>
      <c r="AP79" s="904"/>
      <c r="AQ79" s="831"/>
      <c r="AR79" s="831"/>
      <c r="AS79" s="831"/>
      <c r="AT79" s="831"/>
      <c r="AU79" s="831"/>
      <c r="AV79" s="831"/>
      <c r="AW79" s="831"/>
      <c r="AX79" s="831"/>
      <c r="AY79" s="831"/>
      <c r="AZ79" s="831"/>
    </row>
    <row r="80" spans="1:52" ht="24" customHeight="1" thickBot="1">
      <c r="A80" s="95"/>
      <c r="B80" s="143"/>
      <c r="C80" s="144" t="s">
        <v>293</v>
      </c>
      <c r="D80" s="628"/>
      <c r="E80" s="637"/>
      <c r="F80" s="637"/>
      <c r="G80" s="628"/>
      <c r="H80" s="628"/>
      <c r="I80" s="628"/>
      <c r="J80" s="628"/>
      <c r="K80" s="638"/>
      <c r="L80" s="148">
        <f>+L50+L53+L57+L64+L66+L67+L68+L70+L77+L79</f>
        <v>0</v>
      </c>
      <c r="M80" s="986">
        <f>IF(L80&gt;=500000,"&lt;---","")</f>
      </c>
      <c r="N80" s="985">
        <f>IF(L80&gt;=500000,"OVER $500,000--CHECK IF ALLOWED BY FOA OR IF PO APPROVAL OBTAINED","")</f>
      </c>
      <c r="O80" s="49"/>
      <c r="P80" s="49"/>
      <c r="Q80" s="49"/>
      <c r="R80" s="49"/>
      <c r="S80" s="49"/>
      <c r="AA80" s="831"/>
      <c r="AB80" s="953"/>
      <c r="AC80" s="953"/>
      <c r="AD80" s="953"/>
      <c r="AE80" s="953"/>
      <c r="AF80" s="953"/>
      <c r="AG80" s="953"/>
      <c r="AH80" s="953"/>
      <c r="AI80" s="953"/>
      <c r="AJ80" s="953"/>
      <c r="AK80" s="953"/>
      <c r="AL80" s="953"/>
      <c r="AM80" s="953"/>
      <c r="AN80" s="953"/>
      <c r="AO80" s="904"/>
      <c r="AP80" s="904"/>
      <c r="AQ80" s="831"/>
      <c r="AR80" s="831"/>
      <c r="AS80" s="831"/>
      <c r="AT80" s="831"/>
      <c r="AU80" s="831"/>
      <c r="AV80" s="831"/>
      <c r="AW80" s="831"/>
      <c r="AX80" s="831"/>
      <c r="AY80" s="831"/>
      <c r="AZ80" s="831"/>
    </row>
    <row r="81" spans="1:52" ht="18" customHeight="1" thickBot="1">
      <c r="A81" s="95"/>
      <c r="B81" s="143"/>
      <c r="C81" s="116" t="s">
        <v>291</v>
      </c>
      <c r="D81" s="154"/>
      <c r="E81" s="154"/>
      <c r="F81" s="154"/>
      <c r="G81" s="632"/>
      <c r="H81" s="154"/>
      <c r="I81" s="154"/>
      <c r="J81" s="154"/>
      <c r="K81" s="680" t="s">
        <v>74</v>
      </c>
      <c r="L81" s="156">
        <f>+Subcontracts!D61</f>
        <v>0</v>
      </c>
      <c r="AA81" s="831"/>
      <c r="AB81" s="953"/>
      <c r="AC81" s="953"/>
      <c r="AD81" s="953"/>
      <c r="AE81" s="953"/>
      <c r="AF81" s="953"/>
      <c r="AG81" s="953"/>
      <c r="AH81" s="953"/>
      <c r="AI81" s="953"/>
      <c r="AJ81" s="953"/>
      <c r="AK81" s="953"/>
      <c r="AL81" s="953"/>
      <c r="AM81" s="953"/>
      <c r="AN81" s="953"/>
      <c r="AO81" s="904"/>
      <c r="AP81" s="904"/>
      <c r="AQ81" s="831"/>
      <c r="AR81" s="831"/>
      <c r="AS81" s="831"/>
      <c r="AT81" s="831"/>
      <c r="AU81" s="831"/>
      <c r="AV81" s="831"/>
      <c r="AW81" s="831"/>
      <c r="AX81" s="831"/>
      <c r="AY81" s="831"/>
      <c r="AZ81" s="831"/>
    </row>
    <row r="82" spans="1:49" ht="24" customHeight="1" thickBot="1">
      <c r="A82" s="95"/>
      <c r="B82" s="143"/>
      <c r="C82" s="157" t="s">
        <v>292</v>
      </c>
      <c r="D82" s="158"/>
      <c r="E82" s="631"/>
      <c r="F82" s="160"/>
      <c r="G82" s="161"/>
      <c r="H82" s="161"/>
      <c r="I82" s="159"/>
      <c r="J82" s="159"/>
      <c r="K82" s="162"/>
      <c r="L82" s="163">
        <f>+L80+L81</f>
        <v>0</v>
      </c>
      <c r="AA82" s="831"/>
      <c r="AB82" s="953"/>
      <c r="AC82" s="953"/>
      <c r="AD82" s="953"/>
      <c r="AE82" s="953"/>
      <c r="AF82" s="953"/>
      <c r="AG82" s="953"/>
      <c r="AH82" s="953"/>
      <c r="AI82" s="953"/>
      <c r="AJ82" s="953"/>
      <c r="AK82" s="953"/>
      <c r="AL82" s="953"/>
      <c r="AM82" s="953"/>
      <c r="AN82" s="953"/>
      <c r="AO82" s="904"/>
      <c r="AP82" s="904"/>
      <c r="AQ82" s="831"/>
      <c r="AR82" s="831"/>
      <c r="AS82" s="828"/>
      <c r="AT82" s="828"/>
      <c r="AU82" s="828"/>
      <c r="AV82" s="828"/>
      <c r="AW82" s="828"/>
    </row>
    <row r="83" spans="1:49" ht="15" customHeight="1">
      <c r="A83" s="95"/>
      <c r="B83" s="143"/>
      <c r="C83" s="165" t="s">
        <v>399</v>
      </c>
      <c r="D83" s="166"/>
      <c r="E83" s="166"/>
      <c r="F83" s="166" t="s">
        <v>75</v>
      </c>
      <c r="G83" s="166"/>
      <c r="H83" s="166"/>
      <c r="I83" s="166"/>
      <c r="J83" s="166"/>
      <c r="K83" s="167"/>
      <c r="L83" s="168" t="s">
        <v>76</v>
      </c>
      <c r="AA83" s="831"/>
      <c r="AB83" s="904"/>
      <c r="AC83" s="904"/>
      <c r="AD83" s="904"/>
      <c r="AE83" s="904"/>
      <c r="AF83" s="904"/>
      <c r="AG83" s="904"/>
      <c r="AH83" s="904"/>
      <c r="AI83" s="904"/>
      <c r="AJ83" s="904"/>
      <c r="AK83" s="904"/>
      <c r="AL83" s="904"/>
      <c r="AM83" s="904"/>
      <c r="AN83" s="904"/>
      <c r="AO83" s="904"/>
      <c r="AP83" s="904"/>
      <c r="AQ83" s="831"/>
      <c r="AR83" s="831"/>
      <c r="AS83" s="828"/>
      <c r="AT83" s="828"/>
      <c r="AU83" s="828"/>
      <c r="AV83" s="828"/>
      <c r="AW83" s="828"/>
    </row>
    <row r="84" spans="1:44" ht="12" customHeight="1">
      <c r="A84" s="95"/>
      <c r="B84" s="143"/>
      <c r="C84" s="169"/>
      <c r="D84" s="170"/>
      <c r="E84" s="171"/>
      <c r="F84" s="170"/>
      <c r="G84" s="171"/>
      <c r="H84" s="171"/>
      <c r="I84" s="171"/>
      <c r="J84" s="171"/>
      <c r="K84" s="171"/>
      <c r="L84" s="171"/>
      <c r="AA84" s="831"/>
      <c r="AB84" s="904"/>
      <c r="AC84" s="904"/>
      <c r="AD84" s="904"/>
      <c r="AE84" s="904"/>
      <c r="AF84" s="904"/>
      <c r="AG84" s="904"/>
      <c r="AH84" s="904"/>
      <c r="AI84" s="904"/>
      <c r="AJ84" s="904"/>
      <c r="AK84" s="904"/>
      <c r="AL84" s="904"/>
      <c r="AM84" s="904"/>
      <c r="AN84" s="904"/>
      <c r="AO84" s="904"/>
      <c r="AP84" s="904"/>
      <c r="AQ84" s="831"/>
      <c r="AR84" s="831"/>
    </row>
    <row r="85" spans="1:44" ht="10.5">
      <c r="A85" s="95"/>
      <c r="B85" s="143"/>
      <c r="C85" s="170"/>
      <c r="D85" s="170"/>
      <c r="E85" s="171"/>
      <c r="F85" s="170"/>
      <c r="G85" s="171"/>
      <c r="H85" s="171"/>
      <c r="I85" s="171"/>
      <c r="J85" s="170"/>
      <c r="K85" s="171"/>
      <c r="L85" s="170"/>
      <c r="AA85" s="831"/>
      <c r="AB85" s="904"/>
      <c r="AC85" s="904"/>
      <c r="AD85" s="904"/>
      <c r="AE85" s="904"/>
      <c r="AF85" s="904"/>
      <c r="AG85" s="904"/>
      <c r="AH85" s="904"/>
      <c r="AI85" s="904"/>
      <c r="AJ85" s="904"/>
      <c r="AK85" s="904"/>
      <c r="AL85" s="904"/>
      <c r="AM85" s="904"/>
      <c r="AN85" s="904"/>
      <c r="AO85" s="904"/>
      <c r="AP85" s="904"/>
      <c r="AQ85" s="831"/>
      <c r="AR85" s="831"/>
    </row>
    <row r="86" spans="2:44" ht="0.75" customHeight="1">
      <c r="B86" s="172"/>
      <c r="C86" s="95"/>
      <c r="D86" s="95"/>
      <c r="E86" s="94"/>
      <c r="F86" s="95"/>
      <c r="G86" s="94"/>
      <c r="H86" s="94"/>
      <c r="I86" s="94"/>
      <c r="J86" s="95"/>
      <c r="K86" s="94"/>
      <c r="L86" s="95"/>
      <c r="AA86" s="831"/>
      <c r="AB86" s="831"/>
      <c r="AC86" s="831"/>
      <c r="AD86" s="831"/>
      <c r="AE86" s="831"/>
      <c r="AF86" s="831"/>
      <c r="AG86" s="831"/>
      <c r="AH86" s="831"/>
      <c r="AI86" s="831"/>
      <c r="AJ86" s="831"/>
      <c r="AK86" s="831"/>
      <c r="AL86" s="831"/>
      <c r="AM86" s="831"/>
      <c r="AN86" s="831"/>
      <c r="AO86" s="831"/>
      <c r="AP86" s="831"/>
      <c r="AQ86" s="831"/>
      <c r="AR86" s="831"/>
    </row>
    <row r="87" spans="2:44" ht="10.5">
      <c r="B87" s="172"/>
      <c r="L87" s="49"/>
      <c r="AA87" s="831"/>
      <c r="AB87" s="831"/>
      <c r="AC87" s="831"/>
      <c r="AD87" s="831"/>
      <c r="AE87" s="831"/>
      <c r="AF87" s="831"/>
      <c r="AG87" s="831"/>
      <c r="AH87" s="831"/>
      <c r="AI87" s="831"/>
      <c r="AJ87" s="831"/>
      <c r="AK87" s="831"/>
      <c r="AL87" s="831"/>
      <c r="AM87" s="831"/>
      <c r="AN87" s="831"/>
      <c r="AO87" s="831"/>
      <c r="AP87" s="831"/>
      <c r="AQ87" s="831"/>
      <c r="AR87" s="831"/>
    </row>
    <row r="88" spans="2:44" ht="10.5">
      <c r="B88" s="172"/>
      <c r="L88" s="94"/>
      <c r="AA88" s="831"/>
      <c r="AB88" s="831"/>
      <c r="AC88" s="831"/>
      <c r="AD88" s="831"/>
      <c r="AE88" s="831"/>
      <c r="AF88" s="831"/>
      <c r="AG88" s="831"/>
      <c r="AH88" s="831"/>
      <c r="AI88" s="831"/>
      <c r="AJ88" s="831"/>
      <c r="AK88" s="831"/>
      <c r="AL88" s="831"/>
      <c r="AM88" s="831"/>
      <c r="AN88" s="831"/>
      <c r="AO88" s="831"/>
      <c r="AP88" s="831"/>
      <c r="AQ88" s="831"/>
      <c r="AR88" s="831"/>
    </row>
    <row r="89" spans="2:44" ht="8.25">
      <c r="B89" s="172"/>
      <c r="AA89" s="831"/>
      <c r="AB89" s="831"/>
      <c r="AC89" s="831"/>
      <c r="AD89" s="831"/>
      <c r="AE89" s="831"/>
      <c r="AF89" s="831"/>
      <c r="AG89" s="831"/>
      <c r="AH89" s="831"/>
      <c r="AI89" s="831"/>
      <c r="AJ89" s="831"/>
      <c r="AK89" s="831"/>
      <c r="AL89" s="831"/>
      <c r="AM89" s="831"/>
      <c r="AN89" s="831"/>
      <c r="AO89" s="831"/>
      <c r="AP89" s="831"/>
      <c r="AQ89" s="831"/>
      <c r="AR89" s="831"/>
    </row>
    <row r="90" spans="2:44" ht="10.5">
      <c r="B90" s="172"/>
      <c r="L90" s="94"/>
      <c r="AA90" s="831"/>
      <c r="AB90" s="831"/>
      <c r="AC90" s="831"/>
      <c r="AD90" s="831"/>
      <c r="AE90" s="831"/>
      <c r="AF90" s="831"/>
      <c r="AG90" s="831"/>
      <c r="AH90" s="831"/>
      <c r="AI90" s="831"/>
      <c r="AJ90" s="831"/>
      <c r="AK90" s="831"/>
      <c r="AL90" s="831"/>
      <c r="AM90" s="831"/>
      <c r="AN90" s="831"/>
      <c r="AO90" s="831"/>
      <c r="AP90" s="831"/>
      <c r="AQ90" s="831"/>
      <c r="AR90" s="831"/>
    </row>
    <row r="91" spans="2:44" ht="10.5">
      <c r="B91" s="172"/>
      <c r="E91" s="49"/>
      <c r="G91" s="49"/>
      <c r="H91" s="49"/>
      <c r="I91" s="49"/>
      <c r="K91" s="49"/>
      <c r="AA91" s="831"/>
      <c r="AB91" s="831"/>
      <c r="AC91" s="831"/>
      <c r="AD91" s="831"/>
      <c r="AE91" s="831"/>
      <c r="AF91" s="831"/>
      <c r="AG91" s="831"/>
      <c r="AH91" s="831"/>
      <c r="AI91" s="831"/>
      <c r="AJ91" s="831"/>
      <c r="AK91" s="831"/>
      <c r="AL91" s="831"/>
      <c r="AM91" s="831"/>
      <c r="AN91" s="831"/>
      <c r="AO91" s="831"/>
      <c r="AP91" s="831"/>
      <c r="AQ91" s="831"/>
      <c r="AR91" s="831"/>
    </row>
    <row r="92" spans="2:44" ht="10.5">
      <c r="B92" s="172"/>
      <c r="E92" s="49"/>
      <c r="G92" s="49"/>
      <c r="H92" s="49"/>
      <c r="I92" s="49"/>
      <c r="L92" s="94"/>
      <c r="AA92" s="831"/>
      <c r="AB92" s="831"/>
      <c r="AC92" s="831"/>
      <c r="AD92" s="831"/>
      <c r="AE92" s="831"/>
      <c r="AF92" s="831"/>
      <c r="AG92" s="831"/>
      <c r="AH92" s="831"/>
      <c r="AI92" s="831"/>
      <c r="AJ92" s="831"/>
      <c r="AK92" s="831"/>
      <c r="AL92" s="831"/>
      <c r="AM92" s="831"/>
      <c r="AN92" s="831"/>
      <c r="AO92" s="831"/>
      <c r="AP92" s="831"/>
      <c r="AQ92" s="831"/>
      <c r="AR92" s="831"/>
    </row>
    <row r="93" spans="2:44" ht="10.5">
      <c r="B93" s="172"/>
      <c r="C93" s="49"/>
      <c r="D93" s="49"/>
      <c r="E93" s="49"/>
      <c r="G93" s="49"/>
      <c r="H93" s="49"/>
      <c r="I93" s="49"/>
      <c r="K93" s="49"/>
      <c r="AA93" s="831"/>
      <c r="AB93" s="831"/>
      <c r="AC93" s="831"/>
      <c r="AD93" s="831"/>
      <c r="AE93" s="831"/>
      <c r="AF93" s="831"/>
      <c r="AG93" s="831"/>
      <c r="AH93" s="831"/>
      <c r="AI93" s="831"/>
      <c r="AJ93" s="831"/>
      <c r="AK93" s="831"/>
      <c r="AL93" s="831"/>
      <c r="AM93" s="831"/>
      <c r="AN93" s="831"/>
      <c r="AO93" s="831"/>
      <c r="AP93" s="831"/>
      <c r="AQ93" s="831"/>
      <c r="AR93" s="831"/>
    </row>
    <row r="94" spans="2:44" ht="10.5">
      <c r="B94" s="172"/>
      <c r="C94" s="49"/>
      <c r="D94" s="49"/>
      <c r="E94" s="49"/>
      <c r="F94" s="49"/>
      <c r="G94" s="49"/>
      <c r="H94" s="49"/>
      <c r="I94" s="49"/>
      <c r="J94" s="49"/>
      <c r="L94" s="49"/>
      <c r="AA94" s="831"/>
      <c r="AB94" s="831"/>
      <c r="AC94" s="831"/>
      <c r="AD94" s="831"/>
      <c r="AE94" s="831"/>
      <c r="AF94" s="831"/>
      <c r="AG94" s="831"/>
      <c r="AH94" s="831"/>
      <c r="AI94" s="831"/>
      <c r="AJ94" s="831"/>
      <c r="AK94" s="831"/>
      <c r="AL94" s="831"/>
      <c r="AM94" s="831"/>
      <c r="AN94" s="831"/>
      <c r="AO94" s="831"/>
      <c r="AP94" s="831"/>
      <c r="AQ94" s="831"/>
      <c r="AR94" s="831"/>
    </row>
    <row r="95" spans="2:44" ht="10.5">
      <c r="B95" s="172"/>
      <c r="C95" s="49"/>
      <c r="D95" s="49"/>
      <c r="E95" s="49"/>
      <c r="F95" s="49"/>
      <c r="G95" s="49"/>
      <c r="H95" s="49"/>
      <c r="I95" s="49"/>
      <c r="J95" s="49"/>
      <c r="K95" s="49"/>
      <c r="L95" s="49"/>
      <c r="AA95" s="831"/>
      <c r="AB95" s="831"/>
      <c r="AC95" s="831"/>
      <c r="AD95" s="831"/>
      <c r="AE95" s="831"/>
      <c r="AF95" s="831"/>
      <c r="AG95" s="831"/>
      <c r="AH95" s="831"/>
      <c r="AI95" s="831"/>
      <c r="AJ95" s="831"/>
      <c r="AK95" s="831"/>
      <c r="AL95" s="831"/>
      <c r="AM95" s="831"/>
      <c r="AN95" s="831"/>
      <c r="AO95" s="831"/>
      <c r="AP95" s="831"/>
      <c r="AQ95" s="831"/>
      <c r="AR95" s="831"/>
    </row>
    <row r="96" spans="2:44" ht="10.5">
      <c r="B96" s="172"/>
      <c r="C96" s="49"/>
      <c r="D96" s="49"/>
      <c r="E96" s="49"/>
      <c r="F96" s="49"/>
      <c r="G96" s="49"/>
      <c r="H96" s="49"/>
      <c r="I96" s="49"/>
      <c r="J96" s="49"/>
      <c r="K96" s="49"/>
      <c r="L96" s="49"/>
      <c r="AA96" s="831"/>
      <c r="AB96" s="831"/>
      <c r="AC96" s="831"/>
      <c r="AD96" s="831"/>
      <c r="AE96" s="831"/>
      <c r="AF96" s="831"/>
      <c r="AG96" s="831"/>
      <c r="AH96" s="831"/>
      <c r="AI96" s="831"/>
      <c r="AJ96" s="831"/>
      <c r="AK96" s="831"/>
      <c r="AL96" s="831"/>
      <c r="AM96" s="831"/>
      <c r="AN96" s="831"/>
      <c r="AO96" s="831"/>
      <c r="AP96" s="831"/>
      <c r="AQ96" s="831"/>
      <c r="AR96" s="831"/>
    </row>
    <row r="97" spans="2:44" ht="10.5">
      <c r="B97" s="172"/>
      <c r="C97" s="49"/>
      <c r="D97" s="49"/>
      <c r="E97" s="49"/>
      <c r="F97" s="49"/>
      <c r="G97" s="49"/>
      <c r="H97" s="49"/>
      <c r="I97" s="49"/>
      <c r="J97" s="49"/>
      <c r="K97" s="49"/>
      <c r="L97" s="49"/>
      <c r="AA97" s="831"/>
      <c r="AB97" s="831"/>
      <c r="AC97" s="831"/>
      <c r="AD97" s="831"/>
      <c r="AE97" s="831"/>
      <c r="AF97" s="831"/>
      <c r="AG97" s="831"/>
      <c r="AH97" s="831"/>
      <c r="AI97" s="831"/>
      <c r="AJ97" s="831"/>
      <c r="AK97" s="831"/>
      <c r="AL97" s="831"/>
      <c r="AM97" s="831"/>
      <c r="AN97" s="831"/>
      <c r="AO97" s="831"/>
      <c r="AP97" s="831"/>
      <c r="AQ97" s="831"/>
      <c r="AR97" s="831"/>
    </row>
    <row r="98" spans="2:44" ht="9" customHeight="1">
      <c r="B98" s="172"/>
      <c r="C98" s="49"/>
      <c r="D98" s="49"/>
      <c r="E98" s="49"/>
      <c r="F98" s="49"/>
      <c r="G98" s="49"/>
      <c r="H98" s="49"/>
      <c r="I98" s="49"/>
      <c r="J98" s="49"/>
      <c r="K98" s="49"/>
      <c r="L98" s="49"/>
      <c r="AA98" s="831"/>
      <c r="AB98" s="831"/>
      <c r="AC98" s="831"/>
      <c r="AD98" s="831"/>
      <c r="AE98" s="831"/>
      <c r="AF98" s="831"/>
      <c r="AG98" s="831"/>
      <c r="AH98" s="831"/>
      <c r="AI98" s="831"/>
      <c r="AJ98" s="831"/>
      <c r="AK98" s="831"/>
      <c r="AL98" s="831"/>
      <c r="AM98" s="831"/>
      <c r="AN98" s="831"/>
      <c r="AO98" s="831"/>
      <c r="AP98" s="831"/>
      <c r="AQ98" s="831"/>
      <c r="AR98" s="831"/>
    </row>
    <row r="99" spans="2:12" ht="10.5">
      <c r="B99" s="172"/>
      <c r="C99" s="49"/>
      <c r="D99" s="49"/>
      <c r="E99" s="49"/>
      <c r="F99" s="49"/>
      <c r="G99" s="49"/>
      <c r="H99" s="49"/>
      <c r="I99" s="49"/>
      <c r="J99" s="49"/>
      <c r="K99" s="49"/>
      <c r="L99" s="49"/>
    </row>
    <row r="100" spans="2:12" ht="16.5" customHeight="1">
      <c r="B100" s="172"/>
      <c r="C100" s="49"/>
      <c r="D100" s="49"/>
      <c r="E100" s="49"/>
      <c r="F100" s="49"/>
      <c r="G100" s="49"/>
      <c r="H100" s="49"/>
      <c r="I100" s="49"/>
      <c r="J100" s="49"/>
      <c r="K100" s="49"/>
      <c r="L100" s="49"/>
    </row>
    <row r="101" spans="2:12" ht="16.5" customHeight="1">
      <c r="B101" s="172"/>
      <c r="C101" s="49"/>
      <c r="D101" s="49"/>
      <c r="E101" s="49"/>
      <c r="F101" s="49"/>
      <c r="G101" s="49"/>
      <c r="H101" s="49"/>
      <c r="I101" s="49"/>
      <c r="J101" s="49"/>
      <c r="K101" s="49"/>
      <c r="L101" s="49"/>
    </row>
    <row r="102" spans="2:12" ht="10.5" customHeight="1">
      <c r="B102" s="172"/>
      <c r="C102" s="49"/>
      <c r="D102" s="49"/>
      <c r="E102" s="49"/>
      <c r="F102" s="49"/>
      <c r="G102" s="49"/>
      <c r="H102" s="49"/>
      <c r="I102" s="49"/>
      <c r="J102" s="49"/>
      <c r="K102" s="49"/>
      <c r="L102" s="49"/>
    </row>
    <row r="103" spans="2:12" ht="10.5" customHeight="1">
      <c r="B103" s="172"/>
      <c r="C103" s="49"/>
      <c r="D103" s="49"/>
      <c r="E103" s="49"/>
      <c r="F103" s="49"/>
      <c r="G103" s="49"/>
      <c r="H103" s="49"/>
      <c r="I103" s="49"/>
      <c r="J103" s="49"/>
      <c r="K103" s="49"/>
      <c r="L103" s="49"/>
    </row>
    <row r="104" spans="2:12" ht="10.5" customHeight="1">
      <c r="B104" s="172"/>
      <c r="C104" s="49"/>
      <c r="D104" s="49"/>
      <c r="E104" s="49"/>
      <c r="F104" s="49"/>
      <c r="G104" s="49"/>
      <c r="H104" s="49"/>
      <c r="I104" s="49"/>
      <c r="J104" s="49"/>
      <c r="K104" s="49"/>
      <c r="L104" s="49"/>
    </row>
    <row r="105" spans="2:12" ht="10.5" customHeight="1">
      <c r="B105" s="172"/>
      <c r="C105" s="49"/>
      <c r="D105" s="49"/>
      <c r="E105" s="49"/>
      <c r="F105" s="49"/>
      <c r="G105" s="49"/>
      <c r="H105" s="49"/>
      <c r="I105" s="49"/>
      <c r="J105" s="49"/>
      <c r="K105" s="49"/>
      <c r="L105" s="49"/>
    </row>
    <row r="106" spans="2:12" ht="10.5" customHeight="1">
      <c r="B106" s="172"/>
      <c r="C106" s="49"/>
      <c r="D106" s="49"/>
      <c r="E106" s="49"/>
      <c r="F106" s="49"/>
      <c r="G106" s="49"/>
      <c r="H106" s="49"/>
      <c r="I106" s="49"/>
      <c r="J106" s="49"/>
      <c r="K106" s="49"/>
      <c r="L106" s="49"/>
    </row>
    <row r="107" spans="2:12" ht="10.5" customHeight="1">
      <c r="B107" s="172"/>
      <c r="C107" s="49"/>
      <c r="D107" s="49"/>
      <c r="E107" s="49"/>
      <c r="F107" s="49"/>
      <c r="G107" s="49"/>
      <c r="H107" s="49"/>
      <c r="I107" s="49"/>
      <c r="J107" s="49"/>
      <c r="K107" s="49"/>
      <c r="L107" s="49"/>
    </row>
    <row r="108" spans="2:12" ht="22.5" customHeight="1">
      <c r="B108" s="172"/>
      <c r="C108" s="49"/>
      <c r="D108" s="49"/>
      <c r="E108" s="49"/>
      <c r="F108" s="49"/>
      <c r="G108" s="49"/>
      <c r="H108" s="49"/>
      <c r="I108" s="49"/>
      <c r="J108" s="49"/>
      <c r="K108" s="49"/>
      <c r="L108" s="49"/>
    </row>
    <row r="109" spans="2:12" ht="22.5" customHeight="1">
      <c r="B109" s="172"/>
      <c r="C109" s="49"/>
      <c r="D109" s="49"/>
      <c r="E109" s="49"/>
      <c r="F109" s="49"/>
      <c r="G109" s="49"/>
      <c r="H109" s="49"/>
      <c r="I109" s="49"/>
      <c r="J109" s="49"/>
      <c r="K109" s="49"/>
      <c r="L109" s="49"/>
    </row>
    <row r="110" spans="2:12" ht="22.5" customHeight="1">
      <c r="B110" s="172"/>
      <c r="C110" s="49"/>
      <c r="D110" s="49"/>
      <c r="E110" s="49"/>
      <c r="F110" s="49"/>
      <c r="G110" s="49"/>
      <c r="H110" s="49"/>
      <c r="I110" s="49"/>
      <c r="J110" s="49"/>
      <c r="K110" s="49"/>
      <c r="L110" s="49"/>
    </row>
    <row r="111" spans="2:12" ht="22.5" customHeight="1">
      <c r="B111" s="172"/>
      <c r="C111" s="49"/>
      <c r="D111" s="49"/>
      <c r="E111" s="49"/>
      <c r="F111" s="49"/>
      <c r="G111" s="49"/>
      <c r="H111" s="49"/>
      <c r="I111" s="49"/>
      <c r="J111" s="49"/>
      <c r="K111" s="49"/>
      <c r="L111" s="49"/>
    </row>
    <row r="112" spans="2:12" ht="22.5" customHeight="1">
      <c r="B112" s="172"/>
      <c r="C112" s="49"/>
      <c r="D112" s="49"/>
      <c r="E112" s="49"/>
      <c r="F112" s="49"/>
      <c r="G112" s="49"/>
      <c r="H112" s="49"/>
      <c r="I112" s="49"/>
      <c r="J112" s="49"/>
      <c r="K112" s="49"/>
      <c r="L112" s="49"/>
    </row>
    <row r="113" spans="3:12" ht="22.5" customHeight="1">
      <c r="C113" s="49"/>
      <c r="D113" s="49"/>
      <c r="E113" s="49"/>
      <c r="F113" s="49"/>
      <c r="G113" s="49"/>
      <c r="H113" s="49"/>
      <c r="I113" s="49"/>
      <c r="J113" s="49"/>
      <c r="K113" s="49"/>
      <c r="L113" s="49"/>
    </row>
    <row r="114" spans="3:12" ht="12.75" customHeight="1">
      <c r="C114" s="49"/>
      <c r="D114" s="49"/>
      <c r="E114" s="49"/>
      <c r="F114" s="49"/>
      <c r="G114" s="49"/>
      <c r="H114" s="49"/>
      <c r="I114" s="49"/>
      <c r="J114" s="49"/>
      <c r="K114" s="49"/>
      <c r="L114" s="49"/>
    </row>
    <row r="115" spans="3:12" ht="10.5" customHeight="1">
      <c r="C115" s="49"/>
      <c r="D115" s="49"/>
      <c r="E115" s="49"/>
      <c r="F115" s="49"/>
      <c r="G115" s="49"/>
      <c r="H115" s="49"/>
      <c r="I115" s="49"/>
      <c r="J115" s="49"/>
      <c r="K115" s="49"/>
      <c r="L115" s="49"/>
    </row>
    <row r="116" spans="3:12" ht="22.5" customHeight="1">
      <c r="C116" s="49"/>
      <c r="D116" s="49"/>
      <c r="E116" s="49"/>
      <c r="F116" s="49"/>
      <c r="G116" s="49"/>
      <c r="H116" s="49"/>
      <c r="I116" s="49"/>
      <c r="J116" s="49"/>
      <c r="K116" s="49"/>
      <c r="L116" s="49"/>
    </row>
    <row r="117" spans="3:12" ht="22.5" customHeight="1">
      <c r="C117" s="49"/>
      <c r="D117" s="49"/>
      <c r="E117" s="49"/>
      <c r="F117" s="49"/>
      <c r="G117" s="49"/>
      <c r="H117" s="49"/>
      <c r="I117" s="49"/>
      <c r="J117" s="49"/>
      <c r="K117" s="49"/>
      <c r="L117" s="49"/>
    </row>
    <row r="118" spans="3:12" ht="12.75" customHeight="1">
      <c r="C118" s="49"/>
      <c r="D118" s="49"/>
      <c r="E118" s="49"/>
      <c r="F118" s="49"/>
      <c r="G118" s="49"/>
      <c r="H118" s="49"/>
      <c r="I118" s="49"/>
      <c r="J118" s="49"/>
      <c r="K118" s="49"/>
      <c r="L118" s="49"/>
    </row>
    <row r="119" spans="3:12" ht="10.5" customHeight="1">
      <c r="C119" s="49"/>
      <c r="D119" s="49"/>
      <c r="E119" s="49"/>
      <c r="F119" s="49"/>
      <c r="G119" s="49"/>
      <c r="H119" s="49"/>
      <c r="I119" s="49"/>
      <c r="J119" s="49"/>
      <c r="K119" s="49"/>
      <c r="L119" s="49"/>
    </row>
    <row r="120" spans="3:12" ht="27" customHeight="1">
      <c r="C120" s="49"/>
      <c r="D120" s="49"/>
      <c r="E120" s="49"/>
      <c r="F120" s="49"/>
      <c r="G120" s="49"/>
      <c r="H120" s="49"/>
      <c r="I120" s="49"/>
      <c r="J120" s="49"/>
      <c r="K120" s="49"/>
      <c r="L120" s="49"/>
    </row>
    <row r="121" spans="3:12" ht="9" customHeight="1">
      <c r="C121" s="49"/>
      <c r="D121" s="49"/>
      <c r="E121" s="49"/>
      <c r="F121" s="49"/>
      <c r="G121" s="49"/>
      <c r="H121" s="49"/>
      <c r="I121" s="49"/>
      <c r="J121" s="49"/>
      <c r="K121" s="49"/>
      <c r="L121" s="49"/>
    </row>
    <row r="122" spans="3:12" ht="0.75" customHeight="1">
      <c r="C122" s="49"/>
      <c r="D122" s="49"/>
      <c r="E122" s="49"/>
      <c r="F122" s="49"/>
      <c r="G122" s="49"/>
      <c r="H122" s="49"/>
      <c r="I122" s="49"/>
      <c r="J122" s="49"/>
      <c r="K122" s="49"/>
      <c r="L122" s="49"/>
    </row>
    <row r="123" spans="3:12" ht="21.75" customHeight="1"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3:12" ht="12" customHeight="1">
      <c r="C124" s="49"/>
      <c r="D124" s="49"/>
      <c r="E124" s="49"/>
      <c r="F124" s="49"/>
      <c r="G124" s="49"/>
      <c r="H124" s="49"/>
      <c r="I124" s="49"/>
      <c r="J124" s="49"/>
      <c r="K124" s="49"/>
      <c r="L124" s="49"/>
    </row>
    <row r="125" spans="3:12" ht="0.75" customHeight="1"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3:12" ht="12.75" customHeight="1">
      <c r="C126" s="49"/>
      <c r="D126" s="49"/>
      <c r="E126" s="49"/>
      <c r="F126" s="49"/>
      <c r="G126" s="49"/>
      <c r="H126" s="49"/>
      <c r="I126" s="49"/>
      <c r="J126" s="49"/>
      <c r="K126" s="49"/>
      <c r="L126" s="49"/>
    </row>
    <row r="127" spans="3:12" ht="10.5" customHeight="1">
      <c r="C127" s="49"/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3:12" ht="10.5">
      <c r="C128" s="49"/>
      <c r="D128" s="49"/>
      <c r="E128" s="49"/>
      <c r="F128" s="49"/>
      <c r="G128" s="49"/>
      <c r="H128" s="49"/>
      <c r="I128" s="49"/>
      <c r="J128" s="49"/>
      <c r="K128" s="49"/>
      <c r="L128" s="49"/>
    </row>
    <row r="129" spans="3:11" ht="10.5" customHeight="1">
      <c r="C129" s="49"/>
      <c r="D129" s="49"/>
      <c r="E129" s="49"/>
      <c r="F129" s="49"/>
      <c r="G129" s="49"/>
      <c r="H129" s="49"/>
      <c r="I129" s="49"/>
      <c r="J129" s="49"/>
      <c r="K129" s="49"/>
    </row>
    <row r="130" ht="10.5" customHeight="1"/>
    <row r="132" ht="10.5" customHeight="1"/>
    <row r="133" ht="10.5" customHeight="1"/>
    <row r="135" ht="10.5" customHeight="1"/>
    <row r="136" ht="10.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</sheetData>
  <sheetProtection sheet="1"/>
  <mergeCells count="114">
    <mergeCell ref="I18:I19"/>
    <mergeCell ref="C77:D77"/>
    <mergeCell ref="C73:D73"/>
    <mergeCell ref="C74:D74"/>
    <mergeCell ref="C75:D75"/>
    <mergeCell ref="C76:D76"/>
    <mergeCell ref="F77:J77"/>
    <mergeCell ref="F73:J73"/>
    <mergeCell ref="F74:J74"/>
    <mergeCell ref="F75:J75"/>
    <mergeCell ref="F76:J76"/>
    <mergeCell ref="C64:D64"/>
    <mergeCell ref="F64:J64"/>
    <mergeCell ref="C66:D66"/>
    <mergeCell ref="C72:D72"/>
    <mergeCell ref="F72:J72"/>
    <mergeCell ref="C62:D62"/>
    <mergeCell ref="F62:J62"/>
    <mergeCell ref="C63:D63"/>
    <mergeCell ref="F63:J63"/>
    <mergeCell ref="C60:D60"/>
    <mergeCell ref="F60:J60"/>
    <mergeCell ref="C61:D61"/>
    <mergeCell ref="F61:J61"/>
    <mergeCell ref="C57:D57"/>
    <mergeCell ref="F57:J57"/>
    <mergeCell ref="C59:D59"/>
    <mergeCell ref="F59:J59"/>
    <mergeCell ref="C55:D55"/>
    <mergeCell ref="F55:J55"/>
    <mergeCell ref="C56:D56"/>
    <mergeCell ref="F56:J56"/>
    <mergeCell ref="C52:D52"/>
    <mergeCell ref="F52:J52"/>
    <mergeCell ref="C53:D53"/>
    <mergeCell ref="F53:J53"/>
    <mergeCell ref="E20:E21"/>
    <mergeCell ref="E22:E23"/>
    <mergeCell ref="E24:E25"/>
    <mergeCell ref="E26:E27"/>
    <mergeCell ref="E38:E39"/>
    <mergeCell ref="E40:E41"/>
    <mergeCell ref="E42:E43"/>
    <mergeCell ref="E28:E29"/>
    <mergeCell ref="E30:E31"/>
    <mergeCell ref="E32:E33"/>
    <mergeCell ref="E34:E35"/>
    <mergeCell ref="E44:E45"/>
    <mergeCell ref="E46:E47"/>
    <mergeCell ref="E48:E49"/>
    <mergeCell ref="F20:F21"/>
    <mergeCell ref="F22:F23"/>
    <mergeCell ref="F24:F25"/>
    <mergeCell ref="F26:F27"/>
    <mergeCell ref="F28:F29"/>
    <mergeCell ref="F30:F31"/>
    <mergeCell ref="E36:E37"/>
    <mergeCell ref="F42:F43"/>
    <mergeCell ref="F44:F45"/>
    <mergeCell ref="F46:F47"/>
    <mergeCell ref="F32:F33"/>
    <mergeCell ref="F34:F35"/>
    <mergeCell ref="F36:F37"/>
    <mergeCell ref="F38:F39"/>
    <mergeCell ref="F48:F49"/>
    <mergeCell ref="C20:D21"/>
    <mergeCell ref="C22:D23"/>
    <mergeCell ref="C24:D25"/>
    <mergeCell ref="C26:D27"/>
    <mergeCell ref="C28:D29"/>
    <mergeCell ref="C30:D31"/>
    <mergeCell ref="C32:D33"/>
    <mergeCell ref="F40:F41"/>
    <mergeCell ref="C34:D35"/>
    <mergeCell ref="C44:D45"/>
    <mergeCell ref="C46:D47"/>
    <mergeCell ref="C48:D49"/>
    <mergeCell ref="C36:D37"/>
    <mergeCell ref="C38:D39"/>
    <mergeCell ref="C40:D41"/>
    <mergeCell ref="C42:D43"/>
    <mergeCell ref="F18:F19"/>
    <mergeCell ref="G18:G19"/>
    <mergeCell ref="H18:H19"/>
    <mergeCell ref="G20:G21"/>
    <mergeCell ref="H20:H21"/>
    <mergeCell ref="G22:G23"/>
    <mergeCell ref="H22:H23"/>
    <mergeCell ref="G24:G25"/>
    <mergeCell ref="H24:H25"/>
    <mergeCell ref="G26:G27"/>
    <mergeCell ref="H26:H27"/>
    <mergeCell ref="G28:G29"/>
    <mergeCell ref="H28:H29"/>
    <mergeCell ref="G30:G31"/>
    <mergeCell ref="H30:H31"/>
    <mergeCell ref="G32:G33"/>
    <mergeCell ref="H32:H33"/>
    <mergeCell ref="G34:G35"/>
    <mergeCell ref="H34:H35"/>
    <mergeCell ref="G36:G37"/>
    <mergeCell ref="H36:H37"/>
    <mergeCell ref="G38:G39"/>
    <mergeCell ref="H38:H39"/>
    <mergeCell ref="G40:G41"/>
    <mergeCell ref="H40:H41"/>
    <mergeCell ref="G48:G49"/>
    <mergeCell ref="H48:H49"/>
    <mergeCell ref="G42:G43"/>
    <mergeCell ref="H42:H43"/>
    <mergeCell ref="G44:G45"/>
    <mergeCell ref="H44:H45"/>
    <mergeCell ref="G46:G47"/>
    <mergeCell ref="H46:H47"/>
  </mergeCells>
  <printOptions horizontalCentered="1"/>
  <pageMargins left="0.35" right="0.25" top="0.2" bottom="0" header="0.5" footer="0.5"/>
  <pageSetup fitToHeight="1" fitToWidth="1" horizontalDpi="600" verticalDpi="600" orientation="portrait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J129"/>
  <sheetViews>
    <sheetView showGridLines="0" showZeros="0" zoomScalePageLayoutView="0" workbookViewId="0" topLeftCell="A1">
      <selection activeCell="C20" sqref="C20:D21"/>
    </sheetView>
  </sheetViews>
  <sheetFormatPr defaultColWidth="7.140625" defaultRowHeight="12.75"/>
  <cols>
    <col min="1" max="1" width="6.421875" style="45" customWidth="1"/>
    <col min="2" max="2" width="10.7109375" style="45" customWidth="1"/>
    <col min="3" max="3" width="24.140625" style="45" customWidth="1"/>
    <col min="4" max="5" width="14.00390625" style="45" customWidth="1"/>
    <col min="6" max="8" width="7.421875" style="45" customWidth="1"/>
    <col min="9" max="9" width="10.421875" style="45" customWidth="1"/>
    <col min="10" max="11" width="12.00390625" style="45" customWidth="1"/>
    <col min="12" max="12" width="12.421875" style="45" customWidth="1"/>
    <col min="13" max="27" width="7.140625" style="45" customWidth="1"/>
    <col min="28" max="28" width="16.00390625" style="45" customWidth="1"/>
    <col min="29" max="181" width="7.140625" style="45" customWidth="1"/>
    <col min="182" max="16384" width="7.140625" style="45" customWidth="1"/>
  </cols>
  <sheetData>
    <row r="1" spans="1:46" ht="15" customHeight="1">
      <c r="A1" s="43"/>
      <c r="B1" s="44" t="s">
        <v>49</v>
      </c>
      <c r="C1" s="44"/>
      <c r="D1" s="605">
        <f>IF(AND(Subcontracts!$Z$50=1),AF30,IF(AND(Subcontracts!$Z$50=2),AF42,IF(AND(Subcontracts!$Z$50=3),AF53,IF(AND(Subcontracts!$Z$50=4),AF65,0))))</f>
        <v>0</v>
      </c>
      <c r="Z1" s="607"/>
      <c r="AA1" s="831"/>
      <c r="AB1" s="905" t="s">
        <v>256</v>
      </c>
      <c r="AC1" s="906">
        <f>'Year 2'!AC1</f>
        <v>39630</v>
      </c>
      <c r="AD1" s="906">
        <f>'Year 2'!AD1</f>
        <v>39995</v>
      </c>
      <c r="AE1" s="906">
        <f>'Year 2'!AE1</f>
        <v>40360</v>
      </c>
      <c r="AF1" s="906">
        <f>'Year 2'!AF1</f>
        <v>40725</v>
      </c>
      <c r="AG1" s="906">
        <f>'Year 2'!AG1</f>
        <v>41091</v>
      </c>
      <c r="AH1" s="906">
        <f>'Year 2'!AH1</f>
        <v>41456</v>
      </c>
      <c r="AI1" s="906">
        <f>'Year 2'!AI1</f>
        <v>41821</v>
      </c>
      <c r="AJ1" s="906">
        <f>'Year 2'!AJ1</f>
        <v>42186</v>
      </c>
      <c r="AK1" s="906">
        <f>'Year 2'!AK1</f>
        <v>42552</v>
      </c>
      <c r="AL1" s="906">
        <f>'Year 2'!AL1</f>
        <v>42917</v>
      </c>
      <c r="AM1" s="906">
        <f>'Year 2'!AM1</f>
        <v>43282</v>
      </c>
      <c r="AN1" s="906">
        <f>'Year 2'!AN1</f>
        <v>43647</v>
      </c>
      <c r="AO1" s="906">
        <f>'Year 2'!AO1</f>
        <v>44013</v>
      </c>
      <c r="AP1" s="906">
        <f>'Year 2'!AP1</f>
        <v>44378</v>
      </c>
      <c r="AQ1" s="906">
        <f>'Year 2'!AQ1</f>
        <v>44743</v>
      </c>
      <c r="AR1" s="906">
        <f>'Year 2'!AR1</f>
        <v>45108</v>
      </c>
      <c r="AS1" s="906">
        <f>'Year 2'!AS1</f>
        <v>45474</v>
      </c>
      <c r="AT1" s="828"/>
    </row>
    <row r="2" spans="1:46" ht="15" customHeight="1">
      <c r="A2" s="43"/>
      <c r="B2" s="43" t="s">
        <v>77</v>
      </c>
      <c r="C2" s="43"/>
      <c r="D2" s="576">
        <f>Subcontracts!C9</f>
        <v>0</v>
      </c>
      <c r="Z2" s="607"/>
      <c r="AA2" s="831"/>
      <c r="AB2" s="905" t="s">
        <v>258</v>
      </c>
      <c r="AC2" s="907">
        <f>'Year 2'!AC2</f>
        <v>37.5</v>
      </c>
      <c r="AD2" s="907">
        <f>'Year 2'!AD2</f>
        <v>37.5</v>
      </c>
      <c r="AE2" s="907">
        <f>'Year 2'!AE2</f>
        <v>39</v>
      </c>
      <c r="AF2" s="907">
        <f>'Year 2'!AF2</f>
        <v>41.5</v>
      </c>
      <c r="AG2" s="907">
        <f>'Year 2'!AG2</f>
        <v>43</v>
      </c>
      <c r="AH2" s="907">
        <f>'Year 2'!AH2</f>
        <v>41</v>
      </c>
      <c r="AI2" s="907">
        <f>'Year 2'!AI2</f>
        <v>42.5</v>
      </c>
      <c r="AJ2" s="907">
        <f>'Year 2'!AJ2</f>
        <v>44</v>
      </c>
      <c r="AK2" s="907">
        <f>'Year 2'!AK2</f>
        <v>45.5</v>
      </c>
      <c r="AL2" s="907">
        <f>'Year 2'!AL2</f>
        <v>46.5</v>
      </c>
      <c r="AM2" s="907">
        <f>'Year 2'!AM2</f>
        <v>47.5</v>
      </c>
      <c r="AN2" s="907">
        <f>'Year 2'!AN2</f>
        <v>49</v>
      </c>
      <c r="AO2" s="907">
        <f>'Year 2'!AO2</f>
        <v>49</v>
      </c>
      <c r="AP2" s="907">
        <f>'Year 2'!AP2</f>
        <v>49</v>
      </c>
      <c r="AQ2" s="907">
        <f>'Year 2'!AQ2</f>
        <v>49</v>
      </c>
      <c r="AR2" s="907">
        <f>'Year 2'!AR2</f>
        <v>49</v>
      </c>
      <c r="AS2" s="907">
        <f>'Year 2'!AS2</f>
        <v>49</v>
      </c>
      <c r="AT2" s="828"/>
    </row>
    <row r="3" spans="1:46" ht="15" customHeight="1">
      <c r="A3" s="43"/>
      <c r="B3" s="291" t="s">
        <v>82</v>
      </c>
      <c r="C3" s="291"/>
      <c r="D3" s="291" t="s">
        <v>83</v>
      </c>
      <c r="Z3" s="607"/>
      <c r="AA3" s="831"/>
      <c r="AB3" s="905" t="s">
        <v>259</v>
      </c>
      <c r="AC3" s="907">
        <f>'Year 2'!AC3</f>
        <v>16</v>
      </c>
      <c r="AD3" s="907">
        <f>'Year 2'!AD3</f>
        <v>16</v>
      </c>
      <c r="AE3" s="907">
        <f>'Year 2'!AE3</f>
        <v>17</v>
      </c>
      <c r="AF3" s="907">
        <f>'Year 2'!AF3</f>
        <v>17</v>
      </c>
      <c r="AG3" s="907">
        <f>'Year 2'!AG3</f>
        <v>17</v>
      </c>
      <c r="AH3" s="907">
        <f>'Year 2'!AH3</f>
        <v>17</v>
      </c>
      <c r="AI3" s="907">
        <f>'Year 2'!AI3</f>
        <v>15</v>
      </c>
      <c r="AJ3" s="907">
        <f>'Year 2'!AJ3</f>
        <v>15</v>
      </c>
      <c r="AK3" s="907">
        <f>'Year 2'!AK3</f>
        <v>14</v>
      </c>
      <c r="AL3" s="907">
        <f>'Year 2'!AL3</f>
        <v>14</v>
      </c>
      <c r="AM3" s="907">
        <f>'Year 2'!AM3</f>
        <v>15</v>
      </c>
      <c r="AN3" s="907">
        <f>'Year 2'!AN3</f>
        <v>15</v>
      </c>
      <c r="AO3" s="907">
        <f>'Year 2'!AO3</f>
        <v>15</v>
      </c>
      <c r="AP3" s="907">
        <f>'Year 2'!AP3</f>
        <v>15</v>
      </c>
      <c r="AQ3" s="907">
        <f>'Year 2'!AQ3</f>
        <v>15</v>
      </c>
      <c r="AR3" s="907">
        <f>'Year 2'!AR3</f>
        <v>15</v>
      </c>
      <c r="AS3" s="907">
        <f>'Year 2'!AS3</f>
        <v>15</v>
      </c>
      <c r="AT3" s="828"/>
    </row>
    <row r="4" spans="1:46" ht="15" customHeight="1">
      <c r="A4" s="43"/>
      <c r="B4" s="43"/>
      <c r="C4" s="43"/>
      <c r="D4" s="43"/>
      <c r="Z4" s="607"/>
      <c r="AA4" s="831"/>
      <c r="AB4" s="905" t="s">
        <v>260</v>
      </c>
      <c r="AC4" s="907">
        <f>'Year 2'!AC4</f>
        <v>12.5</v>
      </c>
      <c r="AD4" s="907">
        <f>'Year 2'!AD4</f>
        <v>13.5</v>
      </c>
      <c r="AE4" s="907">
        <f>'Year 2'!AE4</f>
        <v>13</v>
      </c>
      <c r="AF4" s="907">
        <f>'Year 2'!AF4</f>
        <v>13</v>
      </c>
      <c r="AG4" s="907">
        <f>'Year 2'!AG4</f>
        <v>14.5</v>
      </c>
      <c r="AH4" s="907">
        <f>'Year 2'!AH4</f>
        <v>15</v>
      </c>
      <c r="AI4" s="907">
        <f>'Year 2'!AI4</f>
        <v>14</v>
      </c>
      <c r="AJ4" s="907">
        <f>'Year 2'!AJ4</f>
        <v>16</v>
      </c>
      <c r="AK4" s="907">
        <f>'Year 2'!AK4</f>
        <v>14</v>
      </c>
      <c r="AL4" s="907">
        <f>'Year 2'!AL4</f>
        <v>15</v>
      </c>
      <c r="AM4" s="907">
        <f>'Year 2'!AM4</f>
        <v>16</v>
      </c>
      <c r="AN4" s="907">
        <f>'Year 2'!AN4</f>
        <v>17</v>
      </c>
      <c r="AO4" s="907">
        <f>'Year 2'!AO4</f>
        <v>17</v>
      </c>
      <c r="AP4" s="907">
        <f>'Year 2'!AP4</f>
        <v>17</v>
      </c>
      <c r="AQ4" s="907">
        <f>'Year 2'!AQ4</f>
        <v>17</v>
      </c>
      <c r="AR4" s="907">
        <f>'Year 2'!AR4</f>
        <v>17</v>
      </c>
      <c r="AS4" s="907">
        <f>'Year 2'!AS4</f>
        <v>17</v>
      </c>
      <c r="AT4" s="828"/>
    </row>
    <row r="5" spans="1:46" ht="15" customHeight="1">
      <c r="A5" s="43"/>
      <c r="B5" s="43"/>
      <c r="C5" s="43"/>
      <c r="D5" s="43"/>
      <c r="I5" s="604"/>
      <c r="Z5" s="607"/>
      <c r="AA5" s="831"/>
      <c r="AB5" s="905" t="s">
        <v>261</v>
      </c>
      <c r="AC5" s="907">
        <f>'Year 2'!AC5</f>
        <v>5</v>
      </c>
      <c r="AD5" s="907">
        <f>'Year 2'!AD5</f>
        <v>5</v>
      </c>
      <c r="AE5" s="907">
        <f>'Year 2'!AE5</f>
        <v>5</v>
      </c>
      <c r="AF5" s="907">
        <f>'Year 2'!AF5</f>
        <v>5</v>
      </c>
      <c r="AG5" s="907">
        <f>'Year 2'!AG5</f>
        <v>5</v>
      </c>
      <c r="AH5" s="907">
        <f>'Year 2'!AH5</f>
        <v>5</v>
      </c>
      <c r="AI5" s="907">
        <f>'Year 2'!AI5</f>
        <v>5</v>
      </c>
      <c r="AJ5" s="907">
        <f>'Year 2'!AJ5</f>
        <v>5</v>
      </c>
      <c r="AK5" s="907">
        <f>'Year 2'!AK5</f>
        <v>5</v>
      </c>
      <c r="AL5" s="907">
        <f>'Year 2'!AL5</f>
        <v>5</v>
      </c>
      <c r="AM5" s="907">
        <f>'Year 2'!AM5</f>
        <v>5</v>
      </c>
      <c r="AN5" s="907">
        <f>'Year 2'!AN5</f>
        <v>5</v>
      </c>
      <c r="AO5" s="907">
        <f>'Year 2'!AO5</f>
        <v>5</v>
      </c>
      <c r="AP5" s="907">
        <f>'Year 2'!AP5</f>
        <v>5</v>
      </c>
      <c r="AQ5" s="907">
        <f>'Year 2'!AQ5</f>
        <v>5</v>
      </c>
      <c r="AR5" s="907">
        <f>'Year 2'!AR5</f>
        <v>5</v>
      </c>
      <c r="AS5" s="907">
        <f>'Year 2'!AS5</f>
        <v>5</v>
      </c>
      <c r="AT5" s="828"/>
    </row>
    <row r="6" spans="1:46" ht="15" customHeight="1">
      <c r="A6" s="43"/>
      <c r="B6" s="43"/>
      <c r="C6" s="43"/>
      <c r="D6" s="43"/>
      <c r="Z6" s="607"/>
      <c r="AA6" s="831"/>
      <c r="AB6" s="905" t="s">
        <v>257</v>
      </c>
      <c r="AC6" s="907">
        <f>'Year 2'!AC6</f>
        <v>42.67</v>
      </c>
      <c r="AD6" s="907">
        <f>'Year 2'!AD6</f>
        <v>41.49</v>
      </c>
      <c r="AE6" s="907">
        <f>'Year 2'!AE6</f>
        <v>44.09</v>
      </c>
      <c r="AF6" s="907">
        <f>'Year 2'!AF6</f>
        <v>43.27</v>
      </c>
      <c r="AG6" s="907">
        <f>'Year 2'!AG6</f>
        <v>50.16</v>
      </c>
      <c r="AH6" s="907">
        <f>'Year 2'!AH6</f>
        <v>58.75</v>
      </c>
      <c r="AI6" s="907">
        <f>'Year 2'!AI6</f>
        <v>53.48</v>
      </c>
      <c r="AJ6" s="907">
        <f>'Year 2'!AJ6</f>
        <v>53.58</v>
      </c>
      <c r="AK6" s="907">
        <f>'Year 2'!AK6</f>
        <v>54.61</v>
      </c>
      <c r="AL6" s="907">
        <f>'Year 2'!AL6</f>
        <v>57.75</v>
      </c>
      <c r="AM6" s="907">
        <f>'Year 2'!AM6</f>
        <v>59.38</v>
      </c>
      <c r="AN6" s="907">
        <f>'Year 2'!AN6</f>
        <v>61.645</v>
      </c>
      <c r="AO6" s="907">
        <f>'Year 2'!AO6</f>
        <v>64.05</v>
      </c>
      <c r="AP6" s="907">
        <f>'Year 2'!AP6</f>
        <v>64.05</v>
      </c>
      <c r="AQ6" s="907">
        <f>'Year 2'!AQ6</f>
        <v>64.05</v>
      </c>
      <c r="AR6" s="907">
        <f>'Year 2'!AR6</f>
        <v>64.05</v>
      </c>
      <c r="AS6" s="907">
        <f>'Year 2'!AS6</f>
        <v>64.05</v>
      </c>
      <c r="AT6" s="828"/>
    </row>
    <row r="7" spans="1:46" ht="6" customHeight="1">
      <c r="A7" s="43"/>
      <c r="B7" s="43"/>
      <c r="C7" s="46"/>
      <c r="D7" s="43"/>
      <c r="Z7" s="607"/>
      <c r="AA7" s="831"/>
      <c r="AB7" s="905"/>
      <c r="AC7" s="907">
        <f>'Year 2'!AC7</f>
        <v>0</v>
      </c>
      <c r="AD7" s="907">
        <f>'Year 2'!AD7</f>
        <v>0</v>
      </c>
      <c r="AE7" s="907">
        <f>'Year 2'!AE7</f>
        <v>0</v>
      </c>
      <c r="AF7" s="907">
        <f>'Year 2'!AF7</f>
        <v>0</v>
      </c>
      <c r="AG7" s="907">
        <f>'Year 2'!AG7</f>
        <v>0</v>
      </c>
      <c r="AH7" s="907">
        <f>'Year 2'!AH7</f>
        <v>0</v>
      </c>
      <c r="AI7" s="907">
        <f>'Year 2'!AI7</f>
        <v>0</v>
      </c>
      <c r="AJ7" s="907">
        <f>'Year 2'!AJ7</f>
        <v>0</v>
      </c>
      <c r="AK7" s="907">
        <f>'Year 2'!AK7</f>
        <v>0</v>
      </c>
      <c r="AL7" s="907">
        <f>'Year 2'!AL7</f>
        <v>0</v>
      </c>
      <c r="AM7" s="907">
        <f>'Year 2'!AM7</f>
        <v>0</v>
      </c>
      <c r="AN7" s="907">
        <f>'Year 2'!AN7</f>
        <v>0</v>
      </c>
      <c r="AO7" s="907">
        <f>'Year 2'!AO7</f>
        <v>0</v>
      </c>
      <c r="AP7" s="907">
        <f>'Year 2'!AP7</f>
        <v>0</v>
      </c>
      <c r="AQ7" s="907">
        <f>'Year 2'!AQ7</f>
        <v>0</v>
      </c>
      <c r="AR7" s="907">
        <f>'Year 2'!AR7</f>
        <v>0</v>
      </c>
      <c r="AS7" s="907">
        <f>'Year 2'!AS7</f>
        <v>0</v>
      </c>
      <c r="AT7" s="828"/>
    </row>
    <row r="8" spans="3:166" ht="17.25" customHeight="1">
      <c r="C8" s="47"/>
      <c r="E8" s="586" t="s">
        <v>363</v>
      </c>
      <c r="F8" s="679">
        <f>IF(Subcontracts!$F$5&gt;=3,+FacePage!$B$14,)</f>
        <v>0</v>
      </c>
      <c r="G8" s="50"/>
      <c r="H8" s="50"/>
      <c r="K8" s="50"/>
      <c r="L8" s="50"/>
      <c r="Z8" s="607"/>
      <c r="AA8" s="831"/>
      <c r="AB8" s="905" t="s">
        <v>262</v>
      </c>
      <c r="AC8" s="907">
        <f>'Year 2'!AC8</f>
        <v>58.5</v>
      </c>
      <c r="AD8" s="907">
        <f>'Year 2'!AD8</f>
        <v>58.5</v>
      </c>
      <c r="AE8" s="907">
        <f>'Year 2'!AE8</f>
        <v>58.5</v>
      </c>
      <c r="AF8" s="907">
        <f>'Year 2'!AF8</f>
        <v>58.5</v>
      </c>
      <c r="AG8" s="907">
        <f>'Year 2'!AG8</f>
        <v>58.5</v>
      </c>
      <c r="AH8" s="907">
        <f>'Year 2'!AH8</f>
        <v>59</v>
      </c>
      <c r="AI8" s="907">
        <f>'Year 2'!AI8</f>
        <v>59</v>
      </c>
      <c r="AJ8" s="907">
        <f>'Year 2'!AJ8</f>
        <v>59.5</v>
      </c>
      <c r="AK8" s="907">
        <f>'Year 2'!AK8</f>
        <v>59.5</v>
      </c>
      <c r="AL8" s="907">
        <f>'Year 2'!AL8</f>
        <v>59.5</v>
      </c>
      <c r="AM8" s="907">
        <f>'Year 2'!AM8</f>
        <v>59.5</v>
      </c>
      <c r="AN8" s="907">
        <f>'Year 2'!AN8</f>
        <v>59.5</v>
      </c>
      <c r="AO8" s="907">
        <f>'Year 2'!AO8</f>
        <v>59.5</v>
      </c>
      <c r="AP8" s="907">
        <f>'Year 2'!AP8</f>
        <v>59.5</v>
      </c>
      <c r="AQ8" s="907">
        <f>'Year 2'!AQ8</f>
        <v>59.5</v>
      </c>
      <c r="AR8" s="907">
        <f>'Year 2'!AR8</f>
        <v>59.5</v>
      </c>
      <c r="AS8" s="907">
        <f>'Year 2'!AS8</f>
        <v>59.5</v>
      </c>
      <c r="AT8" s="828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</row>
    <row r="9" spans="2:46" ht="6.75" customHeight="1">
      <c r="B9" s="53"/>
      <c r="C9" s="54"/>
      <c r="D9" s="52"/>
      <c r="E9" s="52"/>
      <c r="F9" s="52"/>
      <c r="G9" s="52"/>
      <c r="H9" s="775"/>
      <c r="I9" s="50"/>
      <c r="K9" s="52"/>
      <c r="L9" s="52"/>
      <c r="Z9" s="607"/>
      <c r="AA9" s="831"/>
      <c r="AB9" s="904"/>
      <c r="AC9" s="905"/>
      <c r="AD9" s="954"/>
      <c r="AE9" s="905"/>
      <c r="AF9" s="905"/>
      <c r="AG9" s="905"/>
      <c r="AH9" s="905"/>
      <c r="AI9" s="905"/>
      <c r="AJ9" s="905"/>
      <c r="AK9" s="905"/>
      <c r="AL9" s="905"/>
      <c r="AM9" s="905"/>
      <c r="AN9" s="905"/>
      <c r="AO9" s="905"/>
      <c r="AP9" s="904"/>
      <c r="AQ9" s="904"/>
      <c r="AR9" s="904"/>
      <c r="AS9" s="904"/>
      <c r="AT9" s="828"/>
    </row>
    <row r="10" spans="2:46" ht="3" customHeight="1">
      <c r="B10" s="56"/>
      <c r="C10" s="57"/>
      <c r="D10" s="58"/>
      <c r="E10" s="50"/>
      <c r="F10" s="50"/>
      <c r="G10" s="50"/>
      <c r="H10" s="50"/>
      <c r="I10" s="55"/>
      <c r="J10" s="55"/>
      <c r="K10" s="59"/>
      <c r="L10" s="50"/>
      <c r="Z10" s="607"/>
      <c r="AA10" s="831"/>
      <c r="AB10" s="905"/>
      <c r="AC10" s="905"/>
      <c r="AD10" s="954"/>
      <c r="AE10" s="905"/>
      <c r="AF10" s="905"/>
      <c r="AG10" s="905"/>
      <c r="AH10" s="905"/>
      <c r="AI10" s="905"/>
      <c r="AJ10" s="905"/>
      <c r="AK10" s="905"/>
      <c r="AL10" s="905"/>
      <c r="AM10" s="905"/>
      <c r="AN10" s="905"/>
      <c r="AO10" s="905"/>
      <c r="AP10" s="904"/>
      <c r="AQ10" s="904"/>
      <c r="AR10" s="904"/>
      <c r="AS10" s="904"/>
      <c r="AT10" s="828"/>
    </row>
    <row r="11" spans="2:46" ht="9" customHeight="1">
      <c r="B11" s="60"/>
      <c r="C11" s="50"/>
      <c r="D11" s="50"/>
      <c r="I11" s="50"/>
      <c r="J11" s="61" t="s">
        <v>51</v>
      </c>
      <c r="K11" s="62" t="s">
        <v>52</v>
      </c>
      <c r="Z11" s="607"/>
      <c r="AA11" s="831"/>
      <c r="AB11" s="904"/>
      <c r="AC11" s="905"/>
      <c r="AD11" s="955"/>
      <c r="AE11" s="906"/>
      <c r="AF11" s="906"/>
      <c r="AG11" s="906"/>
      <c r="AH11" s="906"/>
      <c r="AI11" s="906"/>
      <c r="AJ11" s="906"/>
      <c r="AK11" s="906"/>
      <c r="AL11" s="906"/>
      <c r="AM11" s="906"/>
      <c r="AN11" s="906"/>
      <c r="AO11" s="906"/>
      <c r="AP11" s="904"/>
      <c r="AQ11" s="904"/>
      <c r="AR11" s="904"/>
      <c r="AS11" s="904"/>
      <c r="AT11" s="828"/>
    </row>
    <row r="12" spans="2:46" ht="12" customHeight="1">
      <c r="B12" s="60"/>
      <c r="C12" s="63" t="s">
        <v>53</v>
      </c>
      <c r="D12" s="50"/>
      <c r="E12" s="43"/>
      <c r="F12" s="43"/>
      <c r="G12" s="43"/>
      <c r="H12" s="43"/>
      <c r="J12" s="64"/>
      <c r="K12" s="59"/>
      <c r="Z12" s="607"/>
      <c r="AA12" s="831"/>
      <c r="AB12" s="904"/>
      <c r="AC12" s="956">
        <f>'Year 2'!AC12</f>
        <v>39814</v>
      </c>
      <c r="AD12" s="956">
        <f>'Year 2'!AD12</f>
        <v>40179</v>
      </c>
      <c r="AE12" s="956">
        <f>'Year 2'!AE12</f>
        <v>40544</v>
      </c>
      <c r="AF12" s="956">
        <f>'Year 2'!AF12</f>
        <v>40909</v>
      </c>
      <c r="AG12" s="956">
        <f>'Year 2'!AG12</f>
        <v>41275</v>
      </c>
      <c r="AH12" s="956">
        <f>'Year 2'!AH12</f>
        <v>41640</v>
      </c>
      <c r="AI12" s="956">
        <f>'Year 2'!AI12</f>
        <v>42005</v>
      </c>
      <c r="AJ12" s="956">
        <f>'Year 2'!AJ12</f>
        <v>42370</v>
      </c>
      <c r="AK12" s="956">
        <f>'Year 2'!AK12</f>
        <v>42736</v>
      </c>
      <c r="AL12" s="956">
        <f>'Year 2'!AL12</f>
        <v>43101</v>
      </c>
      <c r="AM12" s="956">
        <f>'Year 2'!AM12</f>
        <v>43466</v>
      </c>
      <c r="AN12" s="956">
        <f>'Year 2'!AN12</f>
        <v>43831</v>
      </c>
      <c r="AO12" s="956">
        <f>'Year 2'!AO12</f>
        <v>44197</v>
      </c>
      <c r="AP12" s="956">
        <f>'Year 2'!AP12</f>
        <v>44562</v>
      </c>
      <c r="AQ12" s="956">
        <f>'Year 2'!AQ12</f>
        <v>44927</v>
      </c>
      <c r="AR12" s="956">
        <f>'Year 2'!AR12</f>
        <v>45292</v>
      </c>
      <c r="AS12" s="956">
        <f>'Year 2'!AS12</f>
        <v>45658</v>
      </c>
      <c r="AT12" s="828"/>
    </row>
    <row r="13" spans="2:46" ht="12.75" customHeight="1">
      <c r="B13" s="60"/>
      <c r="C13" s="63" t="s">
        <v>54</v>
      </c>
      <c r="D13" s="65"/>
      <c r="E13" s="43"/>
      <c r="F13" s="43"/>
      <c r="G13" s="46"/>
      <c r="H13" s="46"/>
      <c r="J13" s="66">
        <f>IF(Subcontracts!F5&gt;=3,(EDATE('Year 2'!J13,12)),)</f>
        <v>731</v>
      </c>
      <c r="K13" s="67">
        <f>IF(J13&gt;0,((EDATE(J13,12))-1),)</f>
        <v>1095</v>
      </c>
      <c r="L13" s="68"/>
      <c r="Z13" s="607"/>
      <c r="AA13" s="831"/>
      <c r="AB13" s="904"/>
      <c r="AC13" s="957" t="str">
        <f>'Year 2'!AC13</f>
        <v>FY09</v>
      </c>
      <c r="AD13" s="957" t="str">
        <f>'Year 2'!AD13</f>
        <v>FY10</v>
      </c>
      <c r="AE13" s="957" t="str">
        <f>'Year 2'!AE13</f>
        <v>FY11</v>
      </c>
      <c r="AF13" s="957" t="str">
        <f>'Year 2'!AF13</f>
        <v>FY12</v>
      </c>
      <c r="AG13" s="957" t="str">
        <f>'Year 2'!AG13</f>
        <v>FY13</v>
      </c>
      <c r="AH13" s="957" t="str">
        <f>'Year 2'!AH13</f>
        <v>FY14</v>
      </c>
      <c r="AI13" s="957" t="str">
        <f>'Year 2'!AI13</f>
        <v>FY15</v>
      </c>
      <c r="AJ13" s="957" t="str">
        <f>'Year 2'!AJ13</f>
        <v>FY16</v>
      </c>
      <c r="AK13" s="957" t="str">
        <f>'Year 2'!AK13</f>
        <v>FY17</v>
      </c>
      <c r="AL13" s="957" t="str">
        <f>'Year 2'!AL13</f>
        <v>FY18</v>
      </c>
      <c r="AM13" s="957" t="str">
        <f>'Year 2'!AM13</f>
        <v>FY19</v>
      </c>
      <c r="AN13" s="957" t="str">
        <f>'Year 2'!AN13</f>
        <v>FY20</v>
      </c>
      <c r="AO13" s="957" t="str">
        <f>'Year 2'!AO13</f>
        <v>FY21</v>
      </c>
      <c r="AP13" s="957" t="str">
        <f>'Year 2'!AP13</f>
        <v>FY22</v>
      </c>
      <c r="AQ13" s="957" t="str">
        <f>'Year 2'!AQ13</f>
        <v>FY23</v>
      </c>
      <c r="AR13" s="957" t="str">
        <f>'Year 2'!AR13</f>
        <v>FY24</v>
      </c>
      <c r="AS13" s="957" t="str">
        <f>'Year 2'!AS13</f>
        <v>FY25</v>
      </c>
      <c r="AT13" s="828"/>
    </row>
    <row r="14" spans="2:46" ht="3.75" customHeight="1">
      <c r="B14" s="60"/>
      <c r="C14" s="50"/>
      <c r="D14" s="50"/>
      <c r="I14" s="81"/>
      <c r="J14" s="52"/>
      <c r="K14" s="70"/>
      <c r="L14" s="52"/>
      <c r="Z14" s="607"/>
      <c r="AA14" s="831"/>
      <c r="AB14" s="904"/>
      <c r="AC14" s="904"/>
      <c r="AD14" s="904"/>
      <c r="AE14" s="904"/>
      <c r="AF14" s="904"/>
      <c r="AG14" s="904"/>
      <c r="AH14" s="904"/>
      <c r="AI14" s="904"/>
      <c r="AJ14" s="904"/>
      <c r="AK14" s="904"/>
      <c r="AL14" s="904"/>
      <c r="AM14" s="904"/>
      <c r="AN14" s="904"/>
      <c r="AO14" s="953"/>
      <c r="AP14" s="953"/>
      <c r="AQ14" s="828"/>
      <c r="AR14" s="828"/>
      <c r="AS14" s="828"/>
      <c r="AT14" s="828"/>
    </row>
    <row r="15" spans="2:46" ht="12" customHeight="1">
      <c r="B15" s="71"/>
      <c r="C15" s="872" t="s">
        <v>396</v>
      </c>
      <c r="D15" s="866"/>
      <c r="E15" s="57"/>
      <c r="F15" s="868"/>
      <c r="G15" s="55"/>
      <c r="H15" s="858"/>
      <c r="I15" s="869"/>
      <c r="J15" s="776"/>
      <c r="K15" s="850"/>
      <c r="L15" s="850"/>
      <c r="M15" s="49"/>
      <c r="N15" s="49"/>
      <c r="Q15" s="599"/>
      <c r="Z15" s="607"/>
      <c r="AA15" s="831"/>
      <c r="AB15" s="904"/>
      <c r="AC15" s="904"/>
      <c r="AD15" s="904"/>
      <c r="AE15" s="904"/>
      <c r="AF15" s="904"/>
      <c r="AG15" s="904"/>
      <c r="AH15" s="904"/>
      <c r="AI15" s="904"/>
      <c r="AJ15" s="904"/>
      <c r="AK15" s="904"/>
      <c r="AL15" s="904"/>
      <c r="AM15" s="904"/>
      <c r="AN15" s="904"/>
      <c r="AO15" s="953"/>
      <c r="AP15" s="953"/>
      <c r="AQ15" s="828"/>
      <c r="AR15" s="828"/>
      <c r="AS15" s="828"/>
      <c r="AT15" s="828"/>
    </row>
    <row r="16" spans="2:46" ht="12" customHeight="1">
      <c r="B16" s="861"/>
      <c r="C16" s="733" t="s">
        <v>395</v>
      </c>
      <c r="D16" s="116"/>
      <c r="E16" s="75"/>
      <c r="F16" s="849"/>
      <c r="G16" s="50"/>
      <c r="H16" s="75"/>
      <c r="I16" s="867"/>
      <c r="J16" s="776"/>
      <c r="K16" s="850"/>
      <c r="L16" s="850"/>
      <c r="M16" s="49"/>
      <c r="N16" s="49"/>
      <c r="Q16" s="599"/>
      <c r="Z16" s="607"/>
      <c r="AA16" s="831"/>
      <c r="AB16" s="904"/>
      <c r="AC16" s="904"/>
      <c r="AD16" s="904"/>
      <c r="AE16" s="904"/>
      <c r="AF16" s="904"/>
      <c r="AG16" s="904"/>
      <c r="AH16" s="904"/>
      <c r="AI16" s="904"/>
      <c r="AJ16" s="904"/>
      <c r="AK16" s="904"/>
      <c r="AL16" s="904"/>
      <c r="AM16" s="904"/>
      <c r="AN16" s="904"/>
      <c r="AO16" s="953"/>
      <c r="AP16" s="953"/>
      <c r="AQ16" s="828"/>
      <c r="AR16" s="828"/>
      <c r="AS16" s="828"/>
      <c r="AT16" s="828"/>
    </row>
    <row r="17" spans="2:46" ht="12" customHeight="1">
      <c r="B17" s="74" t="s">
        <v>55</v>
      </c>
      <c r="C17" s="733" t="s">
        <v>397</v>
      </c>
      <c r="D17" s="116"/>
      <c r="E17" s="75"/>
      <c r="F17" s="849"/>
      <c r="G17" s="50"/>
      <c r="H17" s="75"/>
      <c r="I17" s="867"/>
      <c r="J17" s="776"/>
      <c r="K17" s="850"/>
      <c r="L17" s="850"/>
      <c r="M17" s="49"/>
      <c r="N17" s="49"/>
      <c r="Q17" s="599"/>
      <c r="Z17" s="607"/>
      <c r="AA17" s="831"/>
      <c r="AB17" s="904"/>
      <c r="AC17" s="904"/>
      <c r="AD17" s="904"/>
      <c r="AE17" s="904"/>
      <c r="AF17" s="904"/>
      <c r="AG17" s="904"/>
      <c r="AH17" s="904"/>
      <c r="AI17" s="904"/>
      <c r="AJ17" s="904"/>
      <c r="AK17" s="904"/>
      <c r="AL17" s="904"/>
      <c r="AM17" s="904"/>
      <c r="AN17" s="904"/>
      <c r="AO17" s="904"/>
      <c r="AP17" s="904"/>
      <c r="AQ17" s="828"/>
      <c r="AR17" s="828"/>
      <c r="AS17" s="828"/>
      <c r="AT17" s="828"/>
    </row>
    <row r="18" spans="2:57" ht="10.5" customHeight="1">
      <c r="B18" s="877" t="s">
        <v>60</v>
      </c>
      <c r="C18" s="855"/>
      <c r="D18" s="873"/>
      <c r="E18" s="874" t="s">
        <v>61</v>
      </c>
      <c r="F18" s="1036" t="s">
        <v>340</v>
      </c>
      <c r="G18" s="1036" t="s">
        <v>341</v>
      </c>
      <c r="H18" s="1036" t="s">
        <v>400</v>
      </c>
      <c r="I18" s="1059" t="s">
        <v>58</v>
      </c>
      <c r="J18" s="857" t="s">
        <v>62</v>
      </c>
      <c r="K18" s="857" t="s">
        <v>55</v>
      </c>
      <c r="L18" s="858"/>
      <c r="M18" s="49"/>
      <c r="N18" s="49"/>
      <c r="P18" s="590"/>
      <c r="Q18" s="591"/>
      <c r="R18" s="590"/>
      <c r="S18" s="590"/>
      <c r="T18" s="590"/>
      <c r="Z18" s="607"/>
      <c r="AA18" s="831"/>
      <c r="AB18" s="904"/>
      <c r="AC18" s="904"/>
      <c r="AD18" s="904"/>
      <c r="AE18" s="904"/>
      <c r="AF18" s="904"/>
      <c r="AG18" s="904"/>
      <c r="AH18" s="904"/>
      <c r="AI18" s="904"/>
      <c r="AJ18" s="909" t="s">
        <v>19</v>
      </c>
      <c r="AK18" s="909" t="s">
        <v>19</v>
      </c>
      <c r="AL18" s="909" t="s">
        <v>19</v>
      </c>
      <c r="AM18" s="909" t="s">
        <v>19</v>
      </c>
      <c r="AN18" s="904"/>
      <c r="AO18" s="904"/>
      <c r="AP18" s="904"/>
      <c r="AQ18" s="828"/>
      <c r="AR18" s="828"/>
      <c r="AS18" s="828"/>
      <c r="AT18" s="828"/>
      <c r="BE18" s="79"/>
    </row>
    <row r="19" spans="2:57" ht="12" customHeight="1">
      <c r="B19" s="877" t="s">
        <v>63</v>
      </c>
      <c r="C19" s="856" t="s">
        <v>64</v>
      </c>
      <c r="D19" s="875"/>
      <c r="E19" s="871" t="s">
        <v>65</v>
      </c>
      <c r="F19" s="1037"/>
      <c r="G19" s="1037"/>
      <c r="H19" s="1037"/>
      <c r="I19" s="1060"/>
      <c r="J19" s="859" t="s">
        <v>66</v>
      </c>
      <c r="K19" s="859" t="s">
        <v>67</v>
      </c>
      <c r="L19" s="80" t="s">
        <v>68</v>
      </c>
      <c r="M19" s="49"/>
      <c r="N19" s="49"/>
      <c r="P19" s="590"/>
      <c r="Q19" s="591"/>
      <c r="R19" s="590"/>
      <c r="S19" s="590"/>
      <c r="T19" s="590"/>
      <c r="AA19" s="831"/>
      <c r="AB19" s="831"/>
      <c r="AC19" s="831"/>
      <c r="AD19" s="831"/>
      <c r="AE19" s="831"/>
      <c r="AF19" s="831"/>
      <c r="AG19" s="831"/>
      <c r="AH19" s="831"/>
      <c r="AI19" s="831"/>
      <c r="AJ19" s="838" t="s">
        <v>383</v>
      </c>
      <c r="AK19" s="838" t="s">
        <v>389</v>
      </c>
      <c r="AL19" s="838" t="s">
        <v>390</v>
      </c>
      <c r="AM19" s="838" t="s">
        <v>391</v>
      </c>
      <c r="AN19" s="831"/>
      <c r="AO19" s="831"/>
      <c r="AP19" s="831"/>
      <c r="AQ19" s="831"/>
      <c r="AR19" s="831"/>
      <c r="AS19" s="828"/>
      <c r="AT19" s="828"/>
      <c r="BE19" s="79"/>
    </row>
    <row r="20" spans="2:57" ht="13.5" customHeight="1">
      <c r="B20" s="876"/>
      <c r="C20" s="1018">
        <f>IF(Subcontracts!$F$5=0,"",IF(Subcontracts!$F$5&gt;=3,+'Year 2'!C20:D21,""))</f>
        <v>0</v>
      </c>
      <c r="D20" s="1030"/>
      <c r="E20" s="1056" t="s">
        <v>401</v>
      </c>
      <c r="F20" s="1054">
        <f>IF(Subcontracts!$F$5=0,"",IF(Subcontracts!$F$5&gt;=3,+'Year 2'!F20:F21,""))</f>
        <v>0</v>
      </c>
      <c r="G20" s="1054">
        <f>IF(Subcontracts!$F$5=0,"",IF(Subcontracts!$F$5&gt;=3,+'Year 2'!G20:G21,""))</f>
        <v>0</v>
      </c>
      <c r="H20" s="1004">
        <f>IF(Subcontracts!$F$5=0,"",IF(Subcontracts!$F$5&gt;=3,+'Year 2'!H20:H21,""))</f>
        <v>0</v>
      </c>
      <c r="I20" s="86"/>
      <c r="J20" s="87"/>
      <c r="K20" s="87"/>
      <c r="L20" s="88"/>
      <c r="M20" s="49"/>
      <c r="N20" s="49"/>
      <c r="P20" s="590"/>
      <c r="Q20" s="591"/>
      <c r="R20" s="591"/>
      <c r="S20" s="591"/>
      <c r="T20" s="590"/>
      <c r="AA20" s="831"/>
      <c r="AB20" s="831"/>
      <c r="AC20" s="831"/>
      <c r="AD20" s="831"/>
      <c r="AE20" s="831"/>
      <c r="AF20" s="831"/>
      <c r="AG20" s="831"/>
      <c r="AH20" s="831"/>
      <c r="AI20" s="831"/>
      <c r="AJ20" s="831"/>
      <c r="AK20" s="831"/>
      <c r="AL20" s="831"/>
      <c r="AM20" s="831"/>
      <c r="AN20" s="831"/>
      <c r="AO20" s="831"/>
      <c r="AP20" s="831"/>
      <c r="AQ20" s="831"/>
      <c r="AR20" s="831"/>
      <c r="AS20" s="828"/>
      <c r="AT20" s="828"/>
      <c r="BE20" s="79"/>
    </row>
    <row r="21" spans="1:57" ht="13.5" customHeight="1">
      <c r="A21" s="588"/>
      <c r="B21" s="605">
        <f>IF(AND(Subcontracts!$Z$50=1),AJ21,IF(AND(Subcontracts!$Z$50=2),AK21,IF(AND(Subcontracts!$Z$50=3),AL21,IF(AND(Subcontracts!$Z$50=4),AM21,0))))</f>
        <v>0</v>
      </c>
      <c r="C21" s="1020"/>
      <c r="D21" s="1031"/>
      <c r="E21" s="1057"/>
      <c r="F21" s="1005"/>
      <c r="G21" s="1005"/>
      <c r="H21" s="1005"/>
      <c r="I21" s="90">
        <f>IF(Subcontracts!$F$5&gt;=3,+'Year 2'!I21+('Year 2'!I21*('Year 2'!$D$2/100)),)</f>
        <v>0</v>
      </c>
      <c r="J21" s="91">
        <f>IF(Subcontracts!$F$5&gt;=3,(((I21/12)*F20)+((I21/9)*G20)+((I21/3)*H20)),)</f>
        <v>0</v>
      </c>
      <c r="K21" s="92">
        <f>(B21/100)*J21</f>
        <v>0</v>
      </c>
      <c r="L21" s="93">
        <f>J21+K21</f>
        <v>0</v>
      </c>
      <c r="M21" s="94"/>
      <c r="N21" s="94"/>
      <c r="O21" s="95"/>
      <c r="P21" s="592"/>
      <c r="Q21" s="593"/>
      <c r="R21" s="593"/>
      <c r="S21" s="593"/>
      <c r="T21" s="590"/>
      <c r="AA21" s="831"/>
      <c r="AB21" s="844"/>
      <c r="AC21" s="831"/>
      <c r="AD21" s="840"/>
      <c r="AE21" s="840"/>
      <c r="AF21" s="840"/>
      <c r="AG21" s="840"/>
      <c r="AH21" s="840"/>
      <c r="AI21" s="840"/>
      <c r="AJ21" s="841">
        <f>IF(AND('Year 1'!$B21=$AD$25),$AF$25,IF(AND('Year 1'!$B21=$AD$26),$AF$26,IF(AND('Year 1'!$B21=$AD$27),$AF$27,IF(AND('Year 1'!$B21=$AD$28),$AF$28,IF(AND('Year 1'!$B21=$AD$29),$AF$29,0)))))</f>
        <v>0</v>
      </c>
      <c r="AK21" s="841">
        <f>IF(AND('Year 1'!$B21=$AD$37),$AF$37,IF(AND('Year 1'!$B21=$AD$38),$AF$38,IF(AND('Year 1'!$B21=$AD$39),$AF$39,IF(AND('Year 1'!$B21=$AD$40),$AF$40,IF(AND('Year 1'!$B21=$AD$41),$AF$41,0)))))</f>
        <v>0</v>
      </c>
      <c r="AL21" s="841">
        <f>IF(AND('Year 1'!$B21=$AD$48),$AF$48,IF(AND('Year 1'!$B21=$AD$49),$AF$49,IF(AND('Year 1'!$B21=$AD$50),$AF$50,IF(AND('Year 1'!$B21=$AD$51),$AF$51,IF(AND('Year 1'!$B21=$AD$52),$AF$52,0)))))</f>
        <v>0</v>
      </c>
      <c r="AM21" s="841">
        <f>IF(AND('Year 1'!$B21=$AD$60),$AF$60,IF(AND('Year 1'!$B21=$AD$61),$AF$61,IF(AND('Year 1'!$B21=$AD$62),$AF$62,IF(AND('Year 1'!$B21=$AD$63),$AF$63,IF(AND('Year 1'!$B21=$AD$64),$AF$64,0)))))</f>
        <v>0</v>
      </c>
      <c r="AN21" s="840"/>
      <c r="AO21" s="840"/>
      <c r="AP21" s="840"/>
      <c r="AQ21" s="831"/>
      <c r="AR21" s="831"/>
      <c r="AS21" s="828"/>
      <c r="AT21" s="828"/>
      <c r="BE21" s="95"/>
    </row>
    <row r="22" spans="2:57" ht="13.5" customHeight="1">
      <c r="B22" s="606"/>
      <c r="C22" s="1018">
        <f>IF(Subcontracts!$F$5=0,"",IF(Subcontracts!$F$5&gt;=3,+'Year 2'!C22:D23,""))</f>
        <v>0</v>
      </c>
      <c r="D22" s="1030"/>
      <c r="E22" s="1046">
        <f>IF(Subcontracts!$F$5=0,"",IF(Subcontracts!$F$5&gt;=3,+'Year 2'!E22:E23,""))</f>
        <v>0</v>
      </c>
      <c r="F22" s="1054">
        <f>IF(Subcontracts!$F$5=0,"",IF(Subcontracts!$F$5&gt;=3,+'Year 2'!F22:F23,""))</f>
        <v>0</v>
      </c>
      <c r="G22" s="1054">
        <f>IF(Subcontracts!$F$5=0,"",IF(Subcontracts!$F$5&gt;=3,+'Year 2'!G22:G23,""))</f>
        <v>0</v>
      </c>
      <c r="H22" s="1004">
        <f>IF(Subcontracts!$F$5=0,"",IF(Subcontracts!$F$5&gt;=3,+'Year 2'!H22:H23,""))</f>
        <v>0</v>
      </c>
      <c r="I22" s="97"/>
      <c r="J22" s="87"/>
      <c r="K22" s="87"/>
      <c r="L22" s="88"/>
      <c r="M22" s="94"/>
      <c r="N22" s="94"/>
      <c r="O22" s="95"/>
      <c r="P22" s="592"/>
      <c r="Q22" s="591"/>
      <c r="R22" s="591"/>
      <c r="S22" s="591"/>
      <c r="T22" s="590"/>
      <c r="AA22" s="831"/>
      <c r="AB22" s="832" t="str">
        <f>'Year 2'!AB22</f>
        <v>number 1</v>
      </c>
      <c r="AC22" s="832"/>
      <c r="AD22" s="832"/>
      <c r="AE22" s="840"/>
      <c r="AF22" s="832"/>
      <c r="AG22" s="832"/>
      <c r="AH22" s="832"/>
      <c r="AI22" s="832"/>
      <c r="AJ22" s="841">
        <f>IF(AND('Year 1'!$B22=$AD$25),$AF$25,IF(AND('Year 1'!$B22=$AD$26),$AF$26,IF(AND('Year 1'!$B22=$AD$27),$AF$27,IF(AND('Year 1'!$B22=$AD$28),$AF$28,IF(AND('Year 1'!$B22=$AD$29),$AF$29,0)))))</f>
        <v>0</v>
      </c>
      <c r="AK22" s="841">
        <f>IF(AND('Year 1'!$B22=$AD$37),$AF$37,IF(AND('Year 1'!$B22=$AD$38),$AF$38,IF(AND('Year 1'!$B22=$AD$39),$AF$39,IF(AND('Year 1'!$B22=$AD$40),$AF$40,IF(AND('Year 1'!$B22=$AD$41),$AF$41,0)))))</f>
        <v>0</v>
      </c>
      <c r="AL22" s="841">
        <f>IF(AND('Year 1'!$B22=$AD$48),$AF$48,IF(AND('Year 1'!$B22=$AD$49),$AF$49,IF(AND('Year 1'!$B22=$AD$50),$AF$50,IF(AND('Year 1'!$B22=$AD$51),$AF$51,IF(AND('Year 1'!$B22=$AD$52),$AF$52,0)))))</f>
        <v>0</v>
      </c>
      <c r="AM22" s="841">
        <f>IF(AND('Year 1'!$B22=$AD$60),$AF$60,IF(AND('Year 1'!$B22=$AD$61),$AF$61,IF(AND('Year 1'!$B22=$AD$62),$AF$62,IF(AND('Year 1'!$B22=$AD$63),$AF$63,IF(AND('Year 1'!$B22=$AD$64),$AF$64,0)))))</f>
        <v>0</v>
      </c>
      <c r="AN22" s="832"/>
      <c r="AO22" s="832"/>
      <c r="AP22" s="831"/>
      <c r="AQ22" s="831"/>
      <c r="AR22" s="831"/>
      <c r="AS22" s="828"/>
      <c r="AT22" s="828"/>
      <c r="BE22" s="95"/>
    </row>
    <row r="23" spans="1:57" ht="13.5" customHeight="1">
      <c r="A23" s="588"/>
      <c r="B23" s="605">
        <f>IF(AND(Subcontracts!$Z$50=1),AJ23,IF(AND(Subcontracts!$Z$50=2),AK23,IF(AND(Subcontracts!$Z$50=3),AL23,IF(AND(Subcontracts!$Z$50=4),AM23,0))))</f>
        <v>0</v>
      </c>
      <c r="C23" s="1026"/>
      <c r="D23" s="1027"/>
      <c r="E23" s="1047"/>
      <c r="F23" s="1005"/>
      <c r="G23" s="1005"/>
      <c r="H23" s="1005"/>
      <c r="I23" s="99">
        <f>IF(Subcontracts!$F$5&gt;=3,+'Year 2'!I23+('Year 2'!I23*('Year 2'!$D$2/100)),)</f>
        <v>0</v>
      </c>
      <c r="J23" s="91">
        <f>IF(Subcontracts!$F$5&gt;=3,(((I23/12)*F22)+((I23/9)*G22)+((I23/3)*H22)),)</f>
        <v>0</v>
      </c>
      <c r="K23" s="92">
        <f>(B23/100)*J23</f>
        <v>0</v>
      </c>
      <c r="L23" s="93">
        <f>J23+K23</f>
        <v>0</v>
      </c>
      <c r="M23" s="94"/>
      <c r="N23" s="94"/>
      <c r="O23" s="95"/>
      <c r="P23" s="592"/>
      <c r="Q23" s="593"/>
      <c r="R23" s="593"/>
      <c r="S23" s="593"/>
      <c r="T23" s="590"/>
      <c r="AA23" s="831"/>
      <c r="AB23" s="832" t="str">
        <f>'Year 2'!AB23</f>
        <v>year 1 start between 1/1/16 - 12/31/16</v>
      </c>
      <c r="AC23" s="832"/>
      <c r="AD23" s="840"/>
      <c r="AE23" s="840"/>
      <c r="AF23" s="840"/>
      <c r="AG23" s="840"/>
      <c r="AH23" s="840"/>
      <c r="AI23" s="840"/>
      <c r="AJ23" s="841">
        <f>IF(AND('Year 1'!$B23=$AD$25),$AF$25,IF(AND('Year 1'!$B23=$AD$26),$AF$26,IF(AND('Year 1'!$B23=$AD$27),$AF$27,IF(AND('Year 1'!$B23=$AD$28),$AF$28,IF(AND('Year 1'!$B23=$AD$29),$AF$29,0)))))</f>
        <v>0</v>
      </c>
      <c r="AK23" s="841">
        <f>IF(AND('Year 1'!$B23=$AD$37),$AF$37,IF(AND('Year 1'!$B23=$AD$38),$AF$38,IF(AND('Year 1'!$B23=$AD$39),$AF$39,IF(AND('Year 1'!$B23=$AD$40),$AF$40,IF(AND('Year 1'!$B23=$AD$41),$AF$41,0)))))</f>
        <v>0</v>
      </c>
      <c r="AL23" s="841">
        <f>IF(AND('Year 1'!$B23=$AD$48),$AF$48,IF(AND('Year 1'!$B23=$AD$49),$AF$49,IF(AND('Year 1'!$B23=$AD$50),$AF$50,IF(AND('Year 1'!$B23=$AD$51),$AF$51,IF(AND('Year 1'!$B23=$AD$52),$AF$52,0)))))</f>
        <v>0</v>
      </c>
      <c r="AM23" s="841">
        <f>IF(AND('Year 1'!$B23=$AD$60),$AF$60,IF(AND('Year 1'!$B23=$AD$61),$AF$61,IF(AND('Year 1'!$B23=$AD$62),$AF$62,IF(AND('Year 1'!$B23=$AD$63),$AF$63,IF(AND('Year 1'!$B23=$AD$64),$AF$64,0)))))</f>
        <v>0</v>
      </c>
      <c r="AN23" s="840"/>
      <c r="AO23" s="840"/>
      <c r="AP23" s="840"/>
      <c r="AQ23" s="831"/>
      <c r="AR23" s="831"/>
      <c r="AS23" s="828"/>
      <c r="AT23" s="828"/>
      <c r="BE23" s="95"/>
    </row>
    <row r="24" spans="2:57" ht="13.5" customHeight="1">
      <c r="B24" s="606"/>
      <c r="C24" s="1022">
        <f>IF(Subcontracts!$F$5=0,"",IF(Subcontracts!$F$5&gt;=3,+'Year 2'!C24:D25,""))</f>
        <v>0</v>
      </c>
      <c r="D24" s="1025"/>
      <c r="E24" s="1048">
        <f>IF(Subcontracts!$F$5=0,"",IF(Subcontracts!$F$5&gt;=3,+'Year 2'!E24:E25,""))</f>
        <v>0</v>
      </c>
      <c r="F24" s="1054">
        <f>IF(Subcontracts!$F$5=0,"",IF(Subcontracts!$F$5&gt;=3,+'Year 2'!F24:F25,""))</f>
        <v>0</v>
      </c>
      <c r="G24" s="1054">
        <f>IF(Subcontracts!$F$5=0,"",IF(Subcontracts!$F$5&gt;=3,+'Year 2'!G24:G25,""))</f>
        <v>0</v>
      </c>
      <c r="H24" s="1004">
        <f>IF(Subcontracts!$F$5=0,"",IF(Subcontracts!$F$5&gt;=3,+'Year 2'!H24:H25,""))</f>
        <v>0</v>
      </c>
      <c r="I24" s="100"/>
      <c r="J24" s="87"/>
      <c r="K24" s="87"/>
      <c r="L24" s="88"/>
      <c r="M24" s="94"/>
      <c r="N24" s="94"/>
      <c r="O24" s="95"/>
      <c r="P24" s="592"/>
      <c r="Q24" s="591"/>
      <c r="R24" s="591"/>
      <c r="S24" s="591"/>
      <c r="T24" s="590"/>
      <c r="AA24" s="831"/>
      <c r="AB24" s="832">
        <f>'Year 2'!AB24</f>
        <v>0</v>
      </c>
      <c r="AC24" s="832"/>
      <c r="AD24" s="832" t="str">
        <f>'Year 2'!AD24</f>
        <v>year 1</v>
      </c>
      <c r="AE24" s="832" t="str">
        <f>'Year 2'!AE24</f>
        <v>year 2</v>
      </c>
      <c r="AF24" s="832" t="str">
        <f>'Year 2'!AF24</f>
        <v>year 3</v>
      </c>
      <c r="AG24" s="832" t="str">
        <f>'Year 2'!AG24</f>
        <v>year 4</v>
      </c>
      <c r="AH24" s="832" t="str">
        <f>'Year 2'!AH24</f>
        <v>year 5</v>
      </c>
      <c r="AI24" s="832"/>
      <c r="AJ24" s="841">
        <f>IF(AND('Year 1'!$B24=$AD$25),$AF$25,IF(AND('Year 1'!$B24=$AD$26),$AF$26,IF(AND('Year 1'!$B24=$AD$27),$AF$27,IF(AND('Year 1'!$B24=$AD$28),$AF$28,IF(AND('Year 1'!$B24=$AD$29),$AF$29,0)))))</f>
        <v>0</v>
      </c>
      <c r="AK24" s="841">
        <f>IF(AND('Year 1'!$B24=$AD$37),$AF$37,IF(AND('Year 1'!$B24=$AD$38),$AF$38,IF(AND('Year 1'!$B24=$AD$39),$AF$39,IF(AND('Year 1'!$B24=$AD$40),$AF$40,IF(AND('Year 1'!$B24=$AD$41),$AF$41,0)))))</f>
        <v>0</v>
      </c>
      <c r="AL24" s="841">
        <f>IF(AND('Year 1'!$B24=$AD$48),$AF$48,IF(AND('Year 1'!$B24=$AD$49),$AF$49,IF(AND('Year 1'!$B24=$AD$50),$AF$50,IF(AND('Year 1'!$B24=$AD$51),$AF$51,IF(AND('Year 1'!$B24=$AD$52),$AF$52,0)))))</f>
        <v>0</v>
      </c>
      <c r="AM24" s="841">
        <f>IF(AND('Year 1'!$B24=$AD$60),$AF$60,IF(AND('Year 1'!$B24=$AD$61),$AF$61,IF(AND('Year 1'!$B24=$AD$62),$AF$62,IF(AND('Year 1'!$B24=$AD$63),$AF$63,IF(AND('Year 1'!$B24=$AD$64),$AF$64,0)))))</f>
        <v>0</v>
      </c>
      <c r="AN24" s="832"/>
      <c r="AO24" s="832"/>
      <c r="AP24" s="831"/>
      <c r="AQ24" s="831"/>
      <c r="AR24" s="831"/>
      <c r="AS24" s="828"/>
      <c r="AT24" s="828"/>
      <c r="BE24" s="95"/>
    </row>
    <row r="25" spans="1:57" ht="13.5" customHeight="1">
      <c r="A25" s="588"/>
      <c r="B25" s="605">
        <f>IF(AND(Subcontracts!$Z$50=1),AJ25,IF(AND(Subcontracts!$Z$50=2),AK25,IF(AND(Subcontracts!$Z$50=3),AL25,IF(AND(Subcontracts!$Z$50=4),AM25,0))))</f>
        <v>0</v>
      </c>
      <c r="C25" s="1026"/>
      <c r="D25" s="1027"/>
      <c r="E25" s="1049"/>
      <c r="F25" s="1005"/>
      <c r="G25" s="1005"/>
      <c r="H25" s="1005"/>
      <c r="I25" s="90">
        <f>IF(Subcontracts!$F$5&gt;=3,+'Year 2'!I25+('Year 2'!I25*('Year 2'!$D$2/100)),)</f>
        <v>0</v>
      </c>
      <c r="J25" s="91">
        <f>IF(Subcontracts!$F$5&gt;=3,(((I25/12)*F24)+((I25/9)*G24)+((I25/3)*H24)),)</f>
        <v>0</v>
      </c>
      <c r="K25" s="92">
        <f>(B25/100)*J25</f>
        <v>0</v>
      </c>
      <c r="L25" s="93">
        <f>J25+K25</f>
        <v>0</v>
      </c>
      <c r="M25" s="94"/>
      <c r="N25" s="94"/>
      <c r="O25" s="95"/>
      <c r="P25" s="592"/>
      <c r="Q25" s="593"/>
      <c r="R25" s="593"/>
      <c r="S25" s="593"/>
      <c r="T25" s="590"/>
      <c r="AA25" s="831"/>
      <c r="AB25" s="832" t="str">
        <f>'Year 2'!AB25</f>
        <v>RF</v>
      </c>
      <c r="AC25" s="832"/>
      <c r="AD25" s="841">
        <f>'Year 2'!AD25</f>
        <v>45.5</v>
      </c>
      <c r="AE25" s="841">
        <f>'Year 2'!AE25</f>
        <v>46.5</v>
      </c>
      <c r="AF25" s="841">
        <f>'Year 2'!AF25</f>
        <v>47.5</v>
      </c>
      <c r="AG25" s="841">
        <f>'Year 2'!AG25</f>
        <v>49</v>
      </c>
      <c r="AH25" s="841">
        <f>'Year 2'!AH25</f>
        <v>49</v>
      </c>
      <c r="AI25" s="840"/>
      <c r="AJ25" s="841">
        <f>IF(AND('Year 1'!$B25=$AD$25),$AF$25,IF(AND('Year 1'!$B25=$AD$26),$AF$26,IF(AND('Year 1'!$B25=$AD$27),$AF$27,IF(AND('Year 1'!$B25=$AD$28),$AF$28,IF(AND('Year 1'!$B25=$AD$29),$AF$29,0)))))</f>
        <v>0</v>
      </c>
      <c r="AK25" s="841">
        <f>IF(AND('Year 1'!$B25=$AD$37),$AF$37,IF(AND('Year 1'!$B25=$AD$38),$AF$38,IF(AND('Year 1'!$B25=$AD$39),$AF$39,IF(AND('Year 1'!$B25=$AD$40),$AF$40,IF(AND('Year 1'!$B25=$AD$41),$AF$41,0)))))</f>
        <v>0</v>
      </c>
      <c r="AL25" s="841">
        <f>IF(AND('Year 1'!$B25=$AD$48),$AF$48,IF(AND('Year 1'!$B25=$AD$49),$AF$49,IF(AND('Year 1'!$B25=$AD$50),$AF$50,IF(AND('Year 1'!$B25=$AD$51),$AF$51,IF(AND('Year 1'!$B25=$AD$52),$AF$52,0)))))</f>
        <v>0</v>
      </c>
      <c r="AM25" s="841">
        <f>IF(AND('Year 1'!$B25=$AD$60),$AF$60,IF(AND('Year 1'!$B25=$AD$61),$AF$61,IF(AND('Year 1'!$B25=$AD$62),$AF$62,IF(AND('Year 1'!$B25=$AD$63),$AF$63,IF(AND('Year 1'!$B25=$AD$64),$AF$64,0)))))</f>
        <v>0</v>
      </c>
      <c r="AN25" s="840"/>
      <c r="AO25" s="840"/>
      <c r="AP25" s="840"/>
      <c r="AQ25" s="831"/>
      <c r="AR25" s="831"/>
      <c r="AS25" s="828"/>
      <c r="AT25" s="828"/>
      <c r="BE25" s="95"/>
    </row>
    <row r="26" spans="2:57" ht="13.5" customHeight="1">
      <c r="B26" s="606"/>
      <c r="C26" s="1022">
        <f>IF(Subcontracts!$F$5=0,"",IF(Subcontracts!$F$5&gt;=3,+'Year 2'!C26:D27,""))</f>
        <v>0</v>
      </c>
      <c r="D26" s="1023"/>
      <c r="E26" s="1048">
        <f>IF(Subcontracts!$F$5=0,"",IF(Subcontracts!$F$5&gt;=3,+'Year 2'!E26:E27,""))</f>
        <v>0</v>
      </c>
      <c r="F26" s="1054">
        <f>IF(Subcontracts!$F$5=0,"",IF(Subcontracts!$F$5&gt;=3,+'Year 2'!F26:F27,""))</f>
        <v>0</v>
      </c>
      <c r="G26" s="1054">
        <f>IF(Subcontracts!$F$5=0,"",IF(Subcontracts!$F$5&gt;=3,+'Year 2'!G26:G27,""))</f>
        <v>0</v>
      </c>
      <c r="H26" s="1004">
        <f>IF(Subcontracts!$F$5=0,"",IF(Subcontracts!$F$5&gt;=3,+'Year 2'!H26:H27,""))</f>
        <v>0</v>
      </c>
      <c r="I26" s="97"/>
      <c r="J26" s="87"/>
      <c r="K26" s="87"/>
      <c r="L26" s="88"/>
      <c r="M26" s="94"/>
      <c r="N26" s="94"/>
      <c r="O26" s="95"/>
      <c r="P26" s="592"/>
      <c r="Q26" s="591"/>
      <c r="R26" s="591"/>
      <c r="S26" s="591"/>
      <c r="T26" s="590"/>
      <c r="AA26" s="831"/>
      <c r="AB26" s="832" t="str">
        <f>'Year 2'!AB26</f>
        <v>IFR Summer</v>
      </c>
      <c r="AC26" s="832"/>
      <c r="AD26" s="841">
        <f>'Year 2'!AD26</f>
        <v>14</v>
      </c>
      <c r="AE26" s="841">
        <f>'Year 2'!AE26</f>
        <v>14</v>
      </c>
      <c r="AF26" s="841">
        <f>'Year 2'!AF26</f>
        <v>15</v>
      </c>
      <c r="AG26" s="841">
        <f>'Year 2'!AG26</f>
        <v>15</v>
      </c>
      <c r="AH26" s="841">
        <f>'Year 2'!AH26</f>
        <v>15</v>
      </c>
      <c r="AI26" s="832"/>
      <c r="AJ26" s="841">
        <f>IF(AND('Year 1'!$B26=$AD$25),$AF$25,IF(AND('Year 1'!$B26=$AD$26),$AF$26,IF(AND('Year 1'!$B26=$AD$27),$AF$27,IF(AND('Year 1'!$B26=$AD$28),$AF$28,IF(AND('Year 1'!$B26=$AD$29),$AF$29,0)))))</f>
        <v>0</v>
      </c>
      <c r="AK26" s="841">
        <f>IF(AND('Year 1'!$B26=$AD$37),$AF$37,IF(AND('Year 1'!$B26=$AD$38),$AF$38,IF(AND('Year 1'!$B26=$AD$39),$AF$39,IF(AND('Year 1'!$B26=$AD$40),$AF$40,IF(AND('Year 1'!$B26=$AD$41),$AF$41,0)))))</f>
        <v>0</v>
      </c>
      <c r="AL26" s="841">
        <f>IF(AND('Year 1'!$B26=$AD$48),$AF$48,IF(AND('Year 1'!$B26=$AD$49),$AF$49,IF(AND('Year 1'!$B26=$AD$50),$AF$50,IF(AND('Year 1'!$B26=$AD$51),$AF$51,IF(AND('Year 1'!$B26=$AD$52),$AF$52,0)))))</f>
        <v>0</v>
      </c>
      <c r="AM26" s="841">
        <f>IF(AND('Year 1'!$B26=$AD$60),$AF$60,IF(AND('Year 1'!$B26=$AD$61),$AF$61,IF(AND('Year 1'!$B26=$AD$62),$AF$62,IF(AND('Year 1'!$B26=$AD$63),$AF$63,IF(AND('Year 1'!$B26=$AD$64),$AF$64,0)))))</f>
        <v>0</v>
      </c>
      <c r="AN26" s="832"/>
      <c r="AO26" s="832"/>
      <c r="AP26" s="840"/>
      <c r="AQ26" s="831"/>
      <c r="AR26" s="831"/>
      <c r="AS26" s="828"/>
      <c r="AT26" s="828"/>
      <c r="BE26" s="95"/>
    </row>
    <row r="27" spans="1:57" ht="13.5" customHeight="1">
      <c r="A27" s="588"/>
      <c r="B27" s="605">
        <f>IF(AND(Subcontracts!$Z$50=1),AJ27,IF(AND(Subcontracts!$Z$50=2),AK27,IF(AND(Subcontracts!$Z$50=3),AL27,IF(AND(Subcontracts!$Z$50=4),AM27,0))))</f>
        <v>0</v>
      </c>
      <c r="C27" s="1024"/>
      <c r="D27" s="1024"/>
      <c r="E27" s="1047"/>
      <c r="F27" s="1005"/>
      <c r="G27" s="1005"/>
      <c r="H27" s="1005"/>
      <c r="I27" s="90">
        <f>IF(Subcontracts!$F$5&gt;=3,+'Year 2'!I27+('Year 2'!I27*('Year 2'!$D$2/100)),)</f>
        <v>0</v>
      </c>
      <c r="J27" s="91">
        <f>IF(Subcontracts!$F$5&gt;=3,(((I27/12)*F26)+((I27/9)*G26)+((I27/3)*H26)),)</f>
        <v>0</v>
      </c>
      <c r="K27" s="92">
        <f>(B27/100)*J27</f>
        <v>0</v>
      </c>
      <c r="L27" s="93">
        <f>J27+K27</f>
        <v>0</v>
      </c>
      <c r="M27" s="94"/>
      <c r="N27" s="94"/>
      <c r="O27" s="95"/>
      <c r="P27" s="592"/>
      <c r="Q27" s="593"/>
      <c r="R27" s="593"/>
      <c r="S27" s="593"/>
      <c r="T27" s="590"/>
      <c r="AA27" s="831"/>
      <c r="AB27" s="832" t="str">
        <f>'Year 2'!AB27</f>
        <v>Graduate</v>
      </c>
      <c r="AC27" s="832"/>
      <c r="AD27" s="841">
        <f>'Year 2'!AD27</f>
        <v>14</v>
      </c>
      <c r="AE27" s="841">
        <f>'Year 2'!AE27</f>
        <v>15</v>
      </c>
      <c r="AF27" s="841">
        <f>'Year 2'!AF27</f>
        <v>16</v>
      </c>
      <c r="AG27" s="841">
        <f>'Year 2'!AG27</f>
        <v>17</v>
      </c>
      <c r="AH27" s="841">
        <f>'Year 2'!AH27</f>
        <v>17</v>
      </c>
      <c r="AI27" s="840"/>
      <c r="AJ27" s="841">
        <f>IF(AND('Year 1'!$B27=$AD$25),$AF$25,IF(AND('Year 1'!$B27=$AD$26),$AF$26,IF(AND('Year 1'!$B27=$AD$27),$AF$27,IF(AND('Year 1'!$B27=$AD$28),$AF$28,IF(AND('Year 1'!$B27=$AD$29),$AF$29,0)))))</f>
        <v>0</v>
      </c>
      <c r="AK27" s="841">
        <f>IF(AND('Year 1'!$B27=$AD$37),$AF$37,IF(AND('Year 1'!$B27=$AD$38),$AF$38,IF(AND('Year 1'!$B27=$AD$39),$AF$39,IF(AND('Year 1'!$B27=$AD$40),$AF$40,IF(AND('Year 1'!$B27=$AD$41),$AF$41,0)))))</f>
        <v>0</v>
      </c>
      <c r="AL27" s="841">
        <f>IF(AND('Year 1'!$B27=$AD$48),$AF$48,IF(AND('Year 1'!$B27=$AD$49),$AF$49,IF(AND('Year 1'!$B27=$AD$50),$AF$50,IF(AND('Year 1'!$B27=$AD$51),$AF$51,IF(AND('Year 1'!$B27=$AD$52),$AF$52,0)))))</f>
        <v>0</v>
      </c>
      <c r="AM27" s="841">
        <f>IF(AND('Year 1'!$B27=$AD$60),$AF$60,IF(AND('Year 1'!$B27=$AD$61),$AF$61,IF(AND('Year 1'!$B27=$AD$62),$AF$62,IF(AND('Year 1'!$B27=$AD$63),$AF$63,IF(AND('Year 1'!$B27=$AD$64),$AF$64,0)))))</f>
        <v>0</v>
      </c>
      <c r="AN27" s="840"/>
      <c r="AO27" s="840"/>
      <c r="AP27" s="840"/>
      <c r="AQ27" s="831"/>
      <c r="AR27" s="831"/>
      <c r="AS27" s="828"/>
      <c r="AT27" s="828"/>
      <c r="BE27" s="95"/>
    </row>
    <row r="28" spans="2:57" ht="13.5" customHeight="1">
      <c r="B28" s="606"/>
      <c r="C28" s="1022">
        <f>IF(Subcontracts!$F$5=0,"",IF(Subcontracts!$F$5&gt;=3,+'Year 2'!C28:D29,""))</f>
        <v>0</v>
      </c>
      <c r="D28" s="1025"/>
      <c r="E28" s="1042">
        <f>IF(Subcontracts!$F$5=0,"",IF(Subcontracts!$F$5&gt;=3,+'Year 2'!E28:E29,""))</f>
        <v>0</v>
      </c>
      <c r="F28" s="1054">
        <f>IF(Subcontracts!$F$5=0,"",IF(Subcontracts!$F$5&gt;=3,+'Year 2'!F28:F29,""))</f>
        <v>0</v>
      </c>
      <c r="G28" s="1054">
        <f>IF(Subcontracts!$F$5=0,"",IF(Subcontracts!$F$5&gt;=3,+'Year 2'!G28:G29,""))</f>
        <v>0</v>
      </c>
      <c r="H28" s="1004">
        <f>IF(Subcontracts!$F$5=0,"",IF(Subcontracts!$F$5&gt;=3,+'Year 2'!H28:H29,""))</f>
        <v>0</v>
      </c>
      <c r="I28" s="97"/>
      <c r="J28" s="87"/>
      <c r="K28" s="87"/>
      <c r="L28" s="88"/>
      <c r="M28" s="94"/>
      <c r="N28" s="94"/>
      <c r="O28" s="95"/>
      <c r="P28" s="592"/>
      <c r="Q28" s="591"/>
      <c r="R28" s="591"/>
      <c r="S28" s="591"/>
      <c r="T28" s="590"/>
      <c r="AA28" s="831"/>
      <c r="AB28" s="832" t="str">
        <f>'Year 2'!AB28</f>
        <v>Undergrad</v>
      </c>
      <c r="AC28" s="832"/>
      <c r="AD28" s="841">
        <f>'Year 2'!AD28</f>
        <v>5</v>
      </c>
      <c r="AE28" s="841">
        <f>'Year 2'!AE28</f>
        <v>5</v>
      </c>
      <c r="AF28" s="841">
        <f>'Year 2'!AF28</f>
        <v>5</v>
      </c>
      <c r="AG28" s="841">
        <f>'Year 2'!AG28</f>
        <v>5</v>
      </c>
      <c r="AH28" s="841">
        <f>'Year 2'!AH28</f>
        <v>5</v>
      </c>
      <c r="AI28" s="832"/>
      <c r="AJ28" s="841">
        <f>IF(AND('Year 1'!$B28=$AD$25),$AF$25,IF(AND('Year 1'!$B28=$AD$26),$AF$26,IF(AND('Year 1'!$B28=$AD$27),$AF$27,IF(AND('Year 1'!$B28=$AD$28),$AF$28,IF(AND('Year 1'!$B28=$AD$29),$AF$29,0)))))</f>
        <v>0</v>
      </c>
      <c r="AK28" s="841">
        <f>IF(AND('Year 1'!$B28=$AD$37),$AF$37,IF(AND('Year 1'!$B28=$AD$38),$AF$38,IF(AND('Year 1'!$B28=$AD$39),$AF$39,IF(AND('Year 1'!$B28=$AD$40),$AF$40,IF(AND('Year 1'!$B28=$AD$41),$AF$41,0)))))</f>
        <v>0</v>
      </c>
      <c r="AL28" s="841">
        <f>IF(AND('Year 1'!$B28=$AD$48),$AF$48,IF(AND('Year 1'!$B28=$AD$49),$AF$49,IF(AND('Year 1'!$B28=$AD$50),$AF$50,IF(AND('Year 1'!$B28=$AD$51),$AF$51,IF(AND('Year 1'!$B28=$AD$52),$AF$52,0)))))</f>
        <v>0</v>
      </c>
      <c r="AM28" s="841">
        <f>IF(AND('Year 1'!$B28=$AD$60),$AF$60,IF(AND('Year 1'!$B28=$AD$61),$AF$61,IF(AND('Year 1'!$B28=$AD$62),$AF$62,IF(AND('Year 1'!$B28=$AD$63),$AF$63,IF(AND('Year 1'!$B28=$AD$64),$AF$64,0)))))</f>
        <v>0</v>
      </c>
      <c r="AN28" s="832"/>
      <c r="AO28" s="832"/>
      <c r="AP28" s="840"/>
      <c r="AQ28" s="831"/>
      <c r="AR28" s="831"/>
      <c r="AS28" s="828"/>
      <c r="AT28" s="828"/>
      <c r="BE28" s="95"/>
    </row>
    <row r="29" spans="1:57" ht="13.5" customHeight="1">
      <c r="A29" s="588"/>
      <c r="B29" s="605">
        <f>IF(AND(Subcontracts!$Z$50=1),AJ29,IF(AND(Subcontracts!$Z$50=2),AK29,IF(AND(Subcontracts!$Z$50=3),AL29,IF(AND(Subcontracts!$Z$50=4),AM29,0))))</f>
        <v>0</v>
      </c>
      <c r="C29" s="1026"/>
      <c r="D29" s="1027"/>
      <c r="E29" s="1043"/>
      <c r="F29" s="1005"/>
      <c r="G29" s="1005"/>
      <c r="H29" s="1005"/>
      <c r="I29" s="90">
        <f>IF(Subcontracts!$F$5&gt;=3,+'Year 2'!I29+('Year 2'!I29*('Year 2'!$D$2/100)),)</f>
        <v>0</v>
      </c>
      <c r="J29" s="91">
        <f>IF(Subcontracts!$F$5&gt;=3,(((I29/12)*F28)+((I29/9)*G28)+((I29/3)*H28)),)</f>
        <v>0</v>
      </c>
      <c r="K29" s="92">
        <f>(B29/100)*J29</f>
        <v>0</v>
      </c>
      <c r="L29" s="93">
        <f>J29+K29</f>
        <v>0</v>
      </c>
      <c r="M29" s="94"/>
      <c r="N29" s="94"/>
      <c r="O29" s="95"/>
      <c r="P29" s="592"/>
      <c r="Q29" s="593"/>
      <c r="R29" s="593"/>
      <c r="S29" s="593"/>
      <c r="T29" s="590"/>
      <c r="AA29" s="831"/>
      <c r="AB29" s="832" t="str">
        <f>'Year 2'!AB29</f>
        <v>IFR</v>
      </c>
      <c r="AC29" s="832"/>
      <c r="AD29" s="841">
        <f>'Year 2'!AD29</f>
        <v>54.61</v>
      </c>
      <c r="AE29" s="841">
        <f>'Year 2'!AE29</f>
        <v>57.75</v>
      </c>
      <c r="AF29" s="841">
        <f>'Year 2'!AF29</f>
        <v>59.38</v>
      </c>
      <c r="AG29" s="841">
        <f>'Year 2'!AG29</f>
        <v>61.645</v>
      </c>
      <c r="AH29" s="841">
        <f>'Year 2'!AH29</f>
        <v>64.05</v>
      </c>
      <c r="AI29" s="840"/>
      <c r="AJ29" s="841">
        <f>IF(AND('Year 1'!$B29=$AD$25),$AF$25,IF(AND('Year 1'!$B29=$AD$26),$AF$26,IF(AND('Year 1'!$B29=$AD$27),$AF$27,IF(AND('Year 1'!$B29=$AD$28),$AF$28,IF(AND('Year 1'!$B29=$AD$29),$AF$29,0)))))</f>
        <v>0</v>
      </c>
      <c r="AK29" s="841">
        <f>IF(AND('Year 1'!$B29=$AD$37),$AF$37,IF(AND('Year 1'!$B29=$AD$38),$AF$38,IF(AND('Year 1'!$B29=$AD$39),$AF$39,IF(AND('Year 1'!$B29=$AD$40),$AF$40,IF(AND('Year 1'!$B29=$AD$41),$AF$41,0)))))</f>
        <v>0</v>
      </c>
      <c r="AL29" s="841">
        <f>IF(AND('Year 1'!$B29=$AD$48),$AF$48,IF(AND('Year 1'!$B29=$AD$49),$AF$49,IF(AND('Year 1'!$B29=$AD$50),$AF$50,IF(AND('Year 1'!$B29=$AD$51),$AF$51,IF(AND('Year 1'!$B29=$AD$52),$AF$52,0)))))</f>
        <v>0</v>
      </c>
      <c r="AM29" s="841">
        <f>IF(AND('Year 1'!$B29=$AD$60),$AF$60,IF(AND('Year 1'!$B29=$AD$61),$AF$61,IF(AND('Year 1'!$B29=$AD$62),$AF$62,IF(AND('Year 1'!$B29=$AD$63),$AF$63,IF(AND('Year 1'!$B29=$AD$64),$AF$64,0)))))</f>
        <v>0</v>
      </c>
      <c r="AN29" s="840"/>
      <c r="AO29" s="840"/>
      <c r="AP29" s="840"/>
      <c r="AQ29" s="831"/>
      <c r="AR29" s="831"/>
      <c r="AS29" s="828"/>
      <c r="AT29" s="828"/>
      <c r="BE29" s="95"/>
    </row>
    <row r="30" spans="2:57" ht="13.5" customHeight="1">
      <c r="B30" s="606"/>
      <c r="C30" s="1028">
        <f>IF(Subcontracts!$F$5=0,"",IF(Subcontracts!$F$5&gt;=3,+'Year 2'!C30:D31,""))</f>
        <v>0</v>
      </c>
      <c r="D30" s="1029"/>
      <c r="E30" s="1044">
        <f>IF(Subcontracts!$F$5=0,"",IF(Subcontracts!$F$5&gt;=3,+'Year 2'!E30:E31,""))</f>
        <v>0</v>
      </c>
      <c r="F30" s="1054">
        <f>IF(Subcontracts!$F$5=0,"",IF(Subcontracts!$F$5&gt;=3,+'Year 2'!F30:F31,""))</f>
        <v>0</v>
      </c>
      <c r="G30" s="1054">
        <f>IF(Subcontracts!$F$5=0,"",IF(Subcontracts!$F$5&gt;=3,+'Year 2'!G30:G31,""))</f>
        <v>0</v>
      </c>
      <c r="H30" s="1004">
        <f>IF(Subcontracts!$F$5=0,"",IF(Subcontracts!$F$5&gt;=3,+'Year 2'!H30:H31,""))</f>
        <v>0</v>
      </c>
      <c r="I30" s="97"/>
      <c r="J30" s="87"/>
      <c r="K30" s="87"/>
      <c r="L30" s="88"/>
      <c r="M30" s="94"/>
      <c r="N30" s="94"/>
      <c r="O30" s="95"/>
      <c r="P30" s="592"/>
      <c r="Q30" s="591"/>
      <c r="R30" s="591"/>
      <c r="S30" s="591"/>
      <c r="T30" s="590"/>
      <c r="AA30" s="831"/>
      <c r="AB30" s="832" t="str">
        <f>'Year 2'!AB30</f>
        <v>F&amp;A</v>
      </c>
      <c r="AC30" s="832"/>
      <c r="AD30" s="841">
        <f>'Year 2'!AD30</f>
        <v>59.5</v>
      </c>
      <c r="AE30" s="841">
        <f>'Year 2'!AE30</f>
        <v>59.5</v>
      </c>
      <c r="AF30" s="841">
        <f>'Year 2'!AF30</f>
        <v>59.5</v>
      </c>
      <c r="AG30" s="841">
        <f>'Year 2'!AG30</f>
        <v>59.5</v>
      </c>
      <c r="AH30" s="841">
        <f>'Year 2'!AH30</f>
        <v>59.5</v>
      </c>
      <c r="AI30" s="832"/>
      <c r="AJ30" s="841">
        <f>IF(AND('Year 1'!$B30=$AD$25),$AF$25,IF(AND('Year 1'!$B30=$AD$26),$AF$26,IF(AND('Year 1'!$B30=$AD$27),$AF$27,IF(AND('Year 1'!$B30=$AD$28),$AF$28,IF(AND('Year 1'!$B30=$AD$29),$AF$29,0)))))</f>
        <v>0</v>
      </c>
      <c r="AK30" s="841">
        <f>IF(AND('Year 1'!$B30=$AD$37),$AF$37,IF(AND('Year 1'!$B30=$AD$38),$AF$38,IF(AND('Year 1'!$B30=$AD$39),$AF$39,IF(AND('Year 1'!$B30=$AD$40),$AF$40,IF(AND('Year 1'!$B30=$AD$41),$AF$41,0)))))</f>
        <v>0</v>
      </c>
      <c r="AL30" s="841">
        <f>IF(AND('Year 1'!$B30=$AD$48),$AF$48,IF(AND('Year 1'!$B30=$AD$49),$AF$49,IF(AND('Year 1'!$B30=$AD$50),$AF$50,IF(AND('Year 1'!$B30=$AD$51),$AF$51,IF(AND('Year 1'!$B30=$AD$52),$AF$52,0)))))</f>
        <v>0</v>
      </c>
      <c r="AM30" s="841">
        <f>IF(AND('Year 1'!$B30=$AD$60),$AF$60,IF(AND('Year 1'!$B30=$AD$61),$AF$61,IF(AND('Year 1'!$B30=$AD$62),$AF$62,IF(AND('Year 1'!$B30=$AD$63),$AF$63,IF(AND('Year 1'!$B30=$AD$64),$AF$64,0)))))</f>
        <v>0</v>
      </c>
      <c r="AN30" s="832"/>
      <c r="AO30" s="832"/>
      <c r="AP30" s="840"/>
      <c r="AQ30" s="831"/>
      <c r="AR30" s="831"/>
      <c r="AS30" s="828"/>
      <c r="AT30" s="828"/>
      <c r="BE30" s="95"/>
    </row>
    <row r="31" spans="2:57" ht="13.5" customHeight="1">
      <c r="B31" s="605">
        <f>IF(AND(Subcontracts!$Z$50=1),AJ31,IF(AND(Subcontracts!$Z$50=2),AK31,IF(AND(Subcontracts!$Z$50=3),AL31,IF(AND(Subcontracts!$Z$50=4),AM31,0))))</f>
        <v>0</v>
      </c>
      <c r="C31" s="1020"/>
      <c r="D31" s="1021"/>
      <c r="E31" s="1041"/>
      <c r="F31" s="1005"/>
      <c r="G31" s="1005"/>
      <c r="H31" s="1005"/>
      <c r="I31" s="99">
        <f>IF(Subcontracts!$F$5&gt;=3,+'Year 2'!I31+('Year 2'!I31*('Year 2'!$D$2/100)),)</f>
        <v>0</v>
      </c>
      <c r="J31" s="91">
        <f>IF(Subcontracts!$F$5&gt;=3,(((I31/12)*F30)+((I31/9)*G30)+((I31/3)*H30)),)</f>
        <v>0</v>
      </c>
      <c r="K31" s="92">
        <f>(B31/100)*J31</f>
        <v>0</v>
      </c>
      <c r="L31" s="93">
        <f>J31+K31</f>
        <v>0</v>
      </c>
      <c r="M31" s="94"/>
      <c r="N31" s="94"/>
      <c r="O31" s="95"/>
      <c r="P31" s="592"/>
      <c r="Q31" s="593"/>
      <c r="R31" s="593"/>
      <c r="S31" s="593"/>
      <c r="T31" s="590"/>
      <c r="AA31" s="831"/>
      <c r="AB31" s="832">
        <f>'Year 2'!AB31</f>
        <v>0</v>
      </c>
      <c r="AC31" s="832"/>
      <c r="AD31" s="841">
        <f>'Year 2'!AD31</f>
        <v>0</v>
      </c>
      <c r="AE31" s="841">
        <f>'Year 2'!AE31</f>
        <v>0</v>
      </c>
      <c r="AF31" s="841">
        <f>'Year 2'!AF31</f>
        <v>0</v>
      </c>
      <c r="AG31" s="841">
        <f>'Year 2'!AG31</f>
        <v>0</v>
      </c>
      <c r="AH31" s="841">
        <f>'Year 2'!AH31</f>
        <v>0</v>
      </c>
      <c r="AI31" s="840"/>
      <c r="AJ31" s="841">
        <f>IF(AND('Year 1'!$B31=$AD$25),$AF$25,IF(AND('Year 1'!$B31=$AD$26),$AF$26,IF(AND('Year 1'!$B31=$AD$27),$AF$27,IF(AND('Year 1'!$B31=$AD$28),$AF$28,IF(AND('Year 1'!$B31=$AD$29),$AF$29,0)))))</f>
        <v>0</v>
      </c>
      <c r="AK31" s="841">
        <f>IF(AND('Year 1'!$B31=$AD$37),$AF$37,IF(AND('Year 1'!$B31=$AD$38),$AF$38,IF(AND('Year 1'!$B31=$AD$39),$AF$39,IF(AND('Year 1'!$B31=$AD$40),$AF$40,IF(AND('Year 1'!$B31=$AD$41),$AF$41,0)))))</f>
        <v>0</v>
      </c>
      <c r="AL31" s="841">
        <f>IF(AND('Year 1'!$B31=$AD$48),$AF$48,IF(AND('Year 1'!$B31=$AD$49),$AF$49,IF(AND('Year 1'!$B31=$AD$50),$AF$50,IF(AND('Year 1'!$B31=$AD$51),$AF$51,IF(AND('Year 1'!$B31=$AD$52),$AF$52,0)))))</f>
        <v>0</v>
      </c>
      <c r="AM31" s="841">
        <f>IF(AND('Year 1'!$B31=$AD$60),$AF$60,IF(AND('Year 1'!$B31=$AD$61),$AF$61,IF(AND('Year 1'!$B31=$AD$62),$AF$62,IF(AND('Year 1'!$B31=$AD$63),$AF$63,IF(AND('Year 1'!$B31=$AD$64),$AF$64,0)))))</f>
        <v>0</v>
      </c>
      <c r="AN31" s="840"/>
      <c r="AO31" s="840"/>
      <c r="AP31" s="840"/>
      <c r="AQ31" s="831"/>
      <c r="AR31" s="831"/>
      <c r="AS31" s="828"/>
      <c r="AT31" s="828"/>
      <c r="BE31" s="95"/>
    </row>
    <row r="32" spans="2:57" ht="13.5" customHeight="1">
      <c r="B32" s="606"/>
      <c r="C32" s="1018">
        <f>IF(Subcontracts!$F$5=0,"",IF(Subcontracts!$F$5&gt;=3,+'Year 2'!C32:D33,""))</f>
        <v>0</v>
      </c>
      <c r="D32" s="1019"/>
      <c r="E32" s="1040">
        <f>IF(Subcontracts!$F$5=0,"",IF(Subcontracts!$F$5&gt;=3,+'Year 2'!E32:E33,""))</f>
        <v>0</v>
      </c>
      <c r="F32" s="1054">
        <f>IF(Subcontracts!$F$5=0,"",IF(Subcontracts!$F$5&gt;=3,+'Year 2'!F32:F33,""))</f>
        <v>0</v>
      </c>
      <c r="G32" s="1054">
        <f>IF(Subcontracts!$F$5=0,"",IF(Subcontracts!$F$5&gt;=3,+'Year 2'!G32:G33,""))</f>
        <v>0</v>
      </c>
      <c r="H32" s="1004">
        <f>IF(Subcontracts!$F$5=0,"",IF(Subcontracts!$F$5&gt;=3,+'Year 2'!H32:H33,""))</f>
        <v>0</v>
      </c>
      <c r="I32" s="100"/>
      <c r="J32" s="87"/>
      <c r="K32" s="87"/>
      <c r="L32" s="88"/>
      <c r="M32" s="94"/>
      <c r="N32" s="94"/>
      <c r="O32" s="95"/>
      <c r="P32" s="592"/>
      <c r="Q32" s="591"/>
      <c r="R32" s="591"/>
      <c r="S32" s="591"/>
      <c r="T32" s="590"/>
      <c r="AA32" s="831"/>
      <c r="AB32" s="832">
        <f>'Year 2'!AB32</f>
        <v>0</v>
      </c>
      <c r="AC32" s="832"/>
      <c r="AD32" s="841">
        <f>'Year 2'!AD32</f>
        <v>0</v>
      </c>
      <c r="AE32" s="841">
        <f>'Year 2'!AE32</f>
        <v>0</v>
      </c>
      <c r="AF32" s="841">
        <f>'Year 2'!AF32</f>
        <v>0</v>
      </c>
      <c r="AG32" s="841">
        <f>'Year 2'!AG32</f>
        <v>0</v>
      </c>
      <c r="AH32" s="841">
        <f>'Year 2'!AH32</f>
        <v>0</v>
      </c>
      <c r="AI32" s="832"/>
      <c r="AJ32" s="841">
        <f>IF(AND('Year 1'!$B32=$AD$25),$AF$25,IF(AND('Year 1'!$B32=$AD$26),$AF$26,IF(AND('Year 1'!$B32=$AD$27),$AF$27,IF(AND('Year 1'!$B32=$AD$28),$AF$28,IF(AND('Year 1'!$B32=$AD$29),$AF$29,0)))))</f>
        <v>0</v>
      </c>
      <c r="AK32" s="841">
        <f>IF(AND('Year 1'!$B32=$AD$37),$AF$37,IF(AND('Year 1'!$B32=$AD$38),$AF$38,IF(AND('Year 1'!$B32=$AD$39),$AF$39,IF(AND('Year 1'!$B32=$AD$40),$AF$40,IF(AND('Year 1'!$B32=$AD$41),$AF$41,0)))))</f>
        <v>0</v>
      </c>
      <c r="AL32" s="841">
        <f>IF(AND('Year 1'!$B32=$AD$48),$AF$48,IF(AND('Year 1'!$B32=$AD$49),$AF$49,IF(AND('Year 1'!$B32=$AD$50),$AF$50,IF(AND('Year 1'!$B32=$AD$51),$AF$51,IF(AND('Year 1'!$B32=$AD$52),$AF$52,0)))))</f>
        <v>0</v>
      </c>
      <c r="AM32" s="841">
        <f>IF(AND('Year 1'!$B32=$AD$60),$AF$60,IF(AND('Year 1'!$B32=$AD$61),$AF$61,IF(AND('Year 1'!$B32=$AD$62),$AF$62,IF(AND('Year 1'!$B32=$AD$63),$AF$63,IF(AND('Year 1'!$B32=$AD$64),$AF$64,0)))))</f>
        <v>0</v>
      </c>
      <c r="AN32" s="832"/>
      <c r="AO32" s="832"/>
      <c r="AP32" s="840"/>
      <c r="AQ32" s="831"/>
      <c r="AR32" s="831"/>
      <c r="AS32" s="828"/>
      <c r="AT32" s="828"/>
      <c r="BE32" s="95"/>
    </row>
    <row r="33" spans="2:57" ht="13.5" customHeight="1">
      <c r="B33" s="605">
        <f>IF(AND(Subcontracts!$Z$50=1),AJ33,IF(AND(Subcontracts!$Z$50=2),AK33,IF(AND(Subcontracts!$Z$50=3),AL33,IF(AND(Subcontracts!$Z$50=4),AM33,0))))</f>
        <v>0</v>
      </c>
      <c r="C33" s="1020"/>
      <c r="D33" s="1021"/>
      <c r="E33" s="1041"/>
      <c r="F33" s="1005"/>
      <c r="G33" s="1005"/>
      <c r="H33" s="1005"/>
      <c r="I33" s="90">
        <f>IF(Subcontracts!$F$5&gt;=3,+'Year 2'!I33+('Year 2'!I33*('Year 2'!$D$2/100)),)</f>
        <v>0</v>
      </c>
      <c r="J33" s="91">
        <f>IF(Subcontracts!$F$5&gt;=3,(((I33/12)*F32)+((I33/9)*G32)+((I33/3)*H32)),)</f>
        <v>0</v>
      </c>
      <c r="K33" s="92">
        <f>(B33/100)*J33</f>
        <v>0</v>
      </c>
      <c r="L33" s="93">
        <f>J33+K33</f>
        <v>0</v>
      </c>
      <c r="M33" s="94"/>
      <c r="N33" s="94"/>
      <c r="O33" s="95"/>
      <c r="P33" s="592"/>
      <c r="Q33" s="593"/>
      <c r="R33" s="593"/>
      <c r="S33" s="593"/>
      <c r="T33" s="590"/>
      <c r="AA33" s="831"/>
      <c r="AB33" s="832">
        <f>'Year 2'!AB33</f>
        <v>0</v>
      </c>
      <c r="AC33" s="832"/>
      <c r="AD33" s="841">
        <f>'Year 2'!AD33</f>
        <v>0</v>
      </c>
      <c r="AE33" s="841">
        <f>'Year 2'!AE33</f>
        <v>0</v>
      </c>
      <c r="AF33" s="841">
        <f>'Year 2'!AF33</f>
        <v>0</v>
      </c>
      <c r="AG33" s="841">
        <f>'Year 2'!AG33</f>
        <v>0</v>
      </c>
      <c r="AH33" s="841">
        <f>'Year 2'!AH33</f>
        <v>0</v>
      </c>
      <c r="AI33" s="840"/>
      <c r="AJ33" s="841">
        <f>IF(AND('Year 1'!$B33=$AD$25),$AF$25,IF(AND('Year 1'!$B33=$AD$26),$AF$26,IF(AND('Year 1'!$B33=$AD$27),$AF$27,IF(AND('Year 1'!$B33=$AD$28),$AF$28,IF(AND('Year 1'!$B33=$AD$29),$AF$29,0)))))</f>
        <v>0</v>
      </c>
      <c r="AK33" s="841">
        <f>IF(AND('Year 1'!$B33=$AD$37),$AF$37,IF(AND('Year 1'!$B33=$AD$38),$AF$38,IF(AND('Year 1'!$B33=$AD$39),$AF$39,IF(AND('Year 1'!$B33=$AD$40),$AF$40,IF(AND('Year 1'!$B33=$AD$41),$AF$41,0)))))</f>
        <v>0</v>
      </c>
      <c r="AL33" s="841">
        <f>IF(AND('Year 1'!$B33=$AD$48),$AF$48,IF(AND('Year 1'!$B33=$AD$49),$AF$49,IF(AND('Year 1'!$B33=$AD$50),$AF$50,IF(AND('Year 1'!$B33=$AD$51),$AF$51,IF(AND('Year 1'!$B33=$AD$52),$AF$52,0)))))</f>
        <v>0</v>
      </c>
      <c r="AM33" s="841">
        <f>IF(AND('Year 1'!$B33=$AD$60),$AF$60,IF(AND('Year 1'!$B33=$AD$61),$AF$61,IF(AND('Year 1'!$B33=$AD$62),$AF$62,IF(AND('Year 1'!$B33=$AD$63),$AF$63,IF(AND('Year 1'!$B33=$AD$64),$AF$64,0)))))</f>
        <v>0</v>
      </c>
      <c r="AN33" s="840"/>
      <c r="AO33" s="840"/>
      <c r="AP33" s="840"/>
      <c r="AQ33" s="831"/>
      <c r="AR33" s="831"/>
      <c r="AS33" s="828"/>
      <c r="AT33" s="828"/>
      <c r="BE33" s="95"/>
    </row>
    <row r="34" spans="2:57" ht="13.5" customHeight="1">
      <c r="B34" s="606"/>
      <c r="C34" s="1018">
        <f>IF(Subcontracts!$F$5=0,"",IF(Subcontracts!$F$5&gt;=3,+'Year 2'!C34:D35,""))</f>
        <v>0</v>
      </c>
      <c r="D34" s="1019"/>
      <c r="E34" s="1040">
        <f>IF(Subcontracts!$F$5=0,"",IF(Subcontracts!$F$5&gt;=3,+'Year 2'!E34:E35,""))</f>
        <v>0</v>
      </c>
      <c r="F34" s="1054">
        <f>IF(Subcontracts!$F$5=0,"",IF(Subcontracts!$F$5&gt;=3,+'Year 2'!F34:F35,""))</f>
        <v>0</v>
      </c>
      <c r="G34" s="1054">
        <f>IF(Subcontracts!$F$5=0,"",IF(Subcontracts!$F$5&gt;=3,+'Year 2'!G34:G35,""))</f>
        <v>0</v>
      </c>
      <c r="H34" s="1004">
        <f>IF(Subcontracts!$F$5=0,"",IF(Subcontracts!$F$5&gt;=3,+'Year 2'!H34:H35,""))</f>
        <v>0</v>
      </c>
      <c r="I34" s="97"/>
      <c r="J34" s="87"/>
      <c r="K34" s="87"/>
      <c r="L34" s="88"/>
      <c r="M34" s="94"/>
      <c r="N34" s="94"/>
      <c r="O34" s="95"/>
      <c r="P34" s="592"/>
      <c r="Q34" s="591"/>
      <c r="R34" s="591"/>
      <c r="S34" s="591"/>
      <c r="T34" s="590"/>
      <c r="AA34" s="831"/>
      <c r="AB34" s="832" t="str">
        <f>'Year 2'!AB34</f>
        <v>number 2</v>
      </c>
      <c r="AC34" s="832"/>
      <c r="AD34" s="841">
        <f>'Year 2'!AD34</f>
        <v>0</v>
      </c>
      <c r="AE34" s="841">
        <f>'Year 2'!AE34</f>
        <v>0</v>
      </c>
      <c r="AF34" s="841">
        <f>'Year 2'!AF34</f>
        <v>0</v>
      </c>
      <c r="AG34" s="841">
        <f>'Year 2'!AG34</f>
        <v>0</v>
      </c>
      <c r="AH34" s="841">
        <f>'Year 2'!AH34</f>
        <v>0</v>
      </c>
      <c r="AI34" s="832"/>
      <c r="AJ34" s="841">
        <f>IF(AND('Year 1'!$B34=$AD$25),$AF$25,IF(AND('Year 1'!$B34=$AD$26),$AF$26,IF(AND('Year 1'!$B34=$AD$27),$AF$27,IF(AND('Year 1'!$B34=$AD$28),$AF$28,IF(AND('Year 1'!$B34=$AD$29),$AF$29,0)))))</f>
        <v>0</v>
      </c>
      <c r="AK34" s="841">
        <f>IF(AND('Year 1'!$B34=$AD$37),$AF$37,IF(AND('Year 1'!$B34=$AD$38),$AF$38,IF(AND('Year 1'!$B34=$AD$39),$AF$39,IF(AND('Year 1'!$B34=$AD$40),$AF$40,IF(AND('Year 1'!$B34=$AD$41),$AF$41,0)))))</f>
        <v>0</v>
      </c>
      <c r="AL34" s="841">
        <f>IF(AND('Year 1'!$B34=$AD$48),$AF$48,IF(AND('Year 1'!$B34=$AD$49),$AF$49,IF(AND('Year 1'!$B34=$AD$50),$AF$50,IF(AND('Year 1'!$B34=$AD$51),$AF$51,IF(AND('Year 1'!$B34=$AD$52),$AF$52,0)))))</f>
        <v>0</v>
      </c>
      <c r="AM34" s="841">
        <f>IF(AND('Year 1'!$B34=$AD$60),$AF$60,IF(AND('Year 1'!$B34=$AD$61),$AF$61,IF(AND('Year 1'!$B34=$AD$62),$AF$62,IF(AND('Year 1'!$B34=$AD$63),$AF$63,IF(AND('Year 1'!$B34=$AD$64),$AF$64,0)))))</f>
        <v>0</v>
      </c>
      <c r="AN34" s="832"/>
      <c r="AO34" s="832"/>
      <c r="AP34" s="840"/>
      <c r="AQ34" s="831"/>
      <c r="AR34" s="831"/>
      <c r="AS34" s="828"/>
      <c r="AT34" s="828"/>
      <c r="BE34" s="95"/>
    </row>
    <row r="35" spans="2:57" ht="13.5" customHeight="1">
      <c r="B35" s="605">
        <f>IF(AND(Subcontracts!$Z$50=1),AJ35,IF(AND(Subcontracts!$Z$50=2),AK35,IF(AND(Subcontracts!$Z$50=3),AL35,IF(AND(Subcontracts!$Z$50=4),AM35,0))))</f>
        <v>0</v>
      </c>
      <c r="C35" s="1020"/>
      <c r="D35" s="1021"/>
      <c r="E35" s="1041"/>
      <c r="F35" s="1005"/>
      <c r="G35" s="1005"/>
      <c r="H35" s="1005"/>
      <c r="I35" s="90">
        <f>IF(Subcontracts!$F$5&gt;=3,+'Year 2'!I35+('Year 2'!I35*('Year 2'!$D$2/100)),)</f>
        <v>0</v>
      </c>
      <c r="J35" s="91">
        <f>IF(Subcontracts!$F$5&gt;=3,(((I35/12)*F34)+((I35/9)*G34)+((I35/3)*H34)),)</f>
        <v>0</v>
      </c>
      <c r="K35" s="92">
        <f>(B35/100)*J35</f>
        <v>0</v>
      </c>
      <c r="L35" s="93">
        <f>J35+K35</f>
        <v>0</v>
      </c>
      <c r="M35" s="94"/>
      <c r="N35" s="94"/>
      <c r="O35" s="95"/>
      <c r="P35" s="592"/>
      <c r="Q35" s="593"/>
      <c r="R35" s="593"/>
      <c r="S35" s="593"/>
      <c r="T35" s="590"/>
      <c r="AA35" s="831"/>
      <c r="AB35" s="832" t="str">
        <f>'Year 2'!AB35</f>
        <v>year 1 start between 1/1/17- 12/31/17</v>
      </c>
      <c r="AC35" s="832"/>
      <c r="AD35" s="841">
        <f>'Year 2'!AD35</f>
        <v>0</v>
      </c>
      <c r="AE35" s="841">
        <f>'Year 2'!AE35</f>
        <v>0</v>
      </c>
      <c r="AF35" s="841">
        <f>'Year 2'!AF35</f>
        <v>0</v>
      </c>
      <c r="AG35" s="841">
        <f>'Year 2'!AG35</f>
        <v>0</v>
      </c>
      <c r="AH35" s="841">
        <f>'Year 2'!AH35</f>
        <v>0</v>
      </c>
      <c r="AI35" s="840"/>
      <c r="AJ35" s="841">
        <f>IF(AND('Year 1'!$B35=$AD$25),$AF$25,IF(AND('Year 1'!$B35=$AD$26),$AF$26,IF(AND('Year 1'!$B35=$AD$27),$AF$27,IF(AND('Year 1'!$B35=$AD$28),$AF$28,IF(AND('Year 1'!$B35=$AD$29),$AF$29,0)))))</f>
        <v>0</v>
      </c>
      <c r="AK35" s="841">
        <f>IF(AND('Year 1'!$B35=$AD$37),$AF$37,IF(AND('Year 1'!$B35=$AD$38),$AF$38,IF(AND('Year 1'!$B35=$AD$39),$AF$39,IF(AND('Year 1'!$B35=$AD$40),$AF$40,IF(AND('Year 1'!$B35=$AD$41),$AF$41,0)))))</f>
        <v>0</v>
      </c>
      <c r="AL35" s="841">
        <f>IF(AND('Year 1'!$B35=$AD$48),$AF$48,IF(AND('Year 1'!$B35=$AD$49),$AF$49,IF(AND('Year 1'!$B35=$AD$50),$AF$50,IF(AND('Year 1'!$B35=$AD$51),$AF$51,IF(AND('Year 1'!$B35=$AD$52),$AF$52,0)))))</f>
        <v>0</v>
      </c>
      <c r="AM35" s="841">
        <f>IF(AND('Year 1'!$B35=$AD$60),$AF$60,IF(AND('Year 1'!$B35=$AD$61),$AF$61,IF(AND('Year 1'!$B35=$AD$62),$AF$62,IF(AND('Year 1'!$B35=$AD$63),$AF$63,IF(AND('Year 1'!$B35=$AD$64),$AF$64,0)))))</f>
        <v>0</v>
      </c>
      <c r="AN35" s="840"/>
      <c r="AO35" s="840"/>
      <c r="AP35" s="840"/>
      <c r="AQ35" s="831"/>
      <c r="AR35" s="831"/>
      <c r="AS35" s="828"/>
      <c r="AT35" s="828"/>
      <c r="BE35" s="95"/>
    </row>
    <row r="36" spans="2:57" ht="13.5" customHeight="1">
      <c r="B36" s="606"/>
      <c r="C36" s="1018">
        <f>IF(Subcontracts!$F$5=0,"",IF(Subcontracts!$F$5&gt;=3,+'Year 2'!C36:D37,""))</f>
        <v>0</v>
      </c>
      <c r="D36" s="1019"/>
      <c r="E36" s="1040">
        <f>IF(Subcontracts!$F$5=0,"",IF(Subcontracts!$F$5&gt;=3,+'Year 2'!E36:E37,""))</f>
        <v>0</v>
      </c>
      <c r="F36" s="1054">
        <f>IF(Subcontracts!$F$5=0,"",IF(Subcontracts!$F$5&gt;=3,+'Year 2'!F36:F37,""))</f>
        <v>0</v>
      </c>
      <c r="G36" s="1054">
        <f>IF(Subcontracts!$F$5=0,"",IF(Subcontracts!$F$5&gt;=3,+'Year 2'!G36:G37,""))</f>
        <v>0</v>
      </c>
      <c r="H36" s="1004">
        <f>IF(Subcontracts!$F$5=0,"",IF(Subcontracts!$F$5&gt;=3,+'Year 2'!H36:H37,""))</f>
        <v>0</v>
      </c>
      <c r="I36" s="97"/>
      <c r="J36" s="87"/>
      <c r="K36" s="87"/>
      <c r="L36" s="88"/>
      <c r="M36" s="94"/>
      <c r="N36" s="94"/>
      <c r="O36" s="95"/>
      <c r="P36" s="592"/>
      <c r="Q36" s="591"/>
      <c r="R36" s="591"/>
      <c r="S36" s="591"/>
      <c r="T36" s="590"/>
      <c r="AA36" s="831"/>
      <c r="AB36" s="832">
        <f>'Year 2'!AB36</f>
        <v>0</v>
      </c>
      <c r="AC36" s="832"/>
      <c r="AD36" s="841" t="str">
        <f>'Year 2'!AD36</f>
        <v>year 1</v>
      </c>
      <c r="AE36" s="841" t="str">
        <f>'Year 2'!AE36</f>
        <v>year 2</v>
      </c>
      <c r="AF36" s="841" t="str">
        <f>'Year 2'!AF36</f>
        <v>year 3</v>
      </c>
      <c r="AG36" s="841" t="str">
        <f>'Year 2'!AG36</f>
        <v>year 4</v>
      </c>
      <c r="AH36" s="841" t="str">
        <f>'Year 2'!AH36</f>
        <v>year 5</v>
      </c>
      <c r="AI36" s="832"/>
      <c r="AJ36" s="841">
        <f>IF(AND('Year 1'!$B36=$AD$25),$AF$25,IF(AND('Year 1'!$B36=$AD$26),$AF$26,IF(AND('Year 1'!$B36=$AD$27),$AF$27,IF(AND('Year 1'!$B36=$AD$28),$AF$28,IF(AND('Year 1'!$B36=$AD$29),$AF$29,0)))))</f>
        <v>0</v>
      </c>
      <c r="AK36" s="841">
        <f>IF(AND('Year 1'!$B36=$AD$37),$AF$37,IF(AND('Year 1'!$B36=$AD$38),$AF$38,IF(AND('Year 1'!$B36=$AD$39),$AF$39,IF(AND('Year 1'!$B36=$AD$40),$AF$40,IF(AND('Year 1'!$B36=$AD$41),$AF$41,0)))))</f>
        <v>0</v>
      </c>
      <c r="AL36" s="841">
        <f>IF(AND('Year 1'!$B36=$AD$48),$AF$48,IF(AND('Year 1'!$B36=$AD$49),$AF$49,IF(AND('Year 1'!$B36=$AD$50),$AF$50,IF(AND('Year 1'!$B36=$AD$51),$AF$51,IF(AND('Year 1'!$B36=$AD$52),$AF$52,0)))))</f>
        <v>0</v>
      </c>
      <c r="AM36" s="841">
        <f>IF(AND('Year 1'!$B36=$AD$60),$AF$60,IF(AND('Year 1'!$B36=$AD$61),$AF$61,IF(AND('Year 1'!$B36=$AD$62),$AF$62,IF(AND('Year 1'!$B36=$AD$63),$AF$63,IF(AND('Year 1'!$B36=$AD$64),$AF$64,0)))))</f>
        <v>0</v>
      </c>
      <c r="AN36" s="832"/>
      <c r="AO36" s="832"/>
      <c r="AP36" s="840"/>
      <c r="AQ36" s="831"/>
      <c r="AR36" s="831"/>
      <c r="AS36" s="828"/>
      <c r="AT36" s="828"/>
      <c r="BE36" s="95"/>
    </row>
    <row r="37" spans="2:57" ht="13.5" customHeight="1">
      <c r="B37" s="605">
        <f>IF(AND(Subcontracts!$Z$50=1),AJ37,IF(AND(Subcontracts!$Z$50=2),AK37,IF(AND(Subcontracts!$Z$50=3),AL37,IF(AND(Subcontracts!$Z$50=4),AM37,0))))</f>
        <v>0</v>
      </c>
      <c r="C37" s="1020"/>
      <c r="D37" s="1021"/>
      <c r="E37" s="1041"/>
      <c r="F37" s="1005"/>
      <c r="G37" s="1005"/>
      <c r="H37" s="1005"/>
      <c r="I37" s="90">
        <f>IF(Subcontracts!$F$5&gt;=3,+'Year 2'!I37+('Year 2'!I37*('Year 2'!$D$2/100)),)</f>
        <v>0</v>
      </c>
      <c r="J37" s="91">
        <f>IF(Subcontracts!$F$5&gt;=3,(((I37/12)*F36)+((I37/9)*G36)+((I37/3)*H36)),)</f>
        <v>0</v>
      </c>
      <c r="K37" s="92">
        <f>(B37/100)*J37</f>
        <v>0</v>
      </c>
      <c r="L37" s="93">
        <f>J37+K37</f>
        <v>0</v>
      </c>
      <c r="M37" s="94"/>
      <c r="N37" s="94"/>
      <c r="O37" s="95"/>
      <c r="P37" s="592"/>
      <c r="Q37" s="593"/>
      <c r="R37" s="593"/>
      <c r="S37" s="593"/>
      <c r="T37" s="590"/>
      <c r="AA37" s="831"/>
      <c r="AB37" s="832" t="str">
        <f>'Year 2'!AB37</f>
        <v>RF</v>
      </c>
      <c r="AC37" s="832"/>
      <c r="AD37" s="841">
        <f>'Year 2'!AD37</f>
        <v>46.5</v>
      </c>
      <c r="AE37" s="841">
        <f>'Year 2'!AE37</f>
        <v>47.5</v>
      </c>
      <c r="AF37" s="841">
        <f>'Year 2'!AF37</f>
        <v>49</v>
      </c>
      <c r="AG37" s="841">
        <f>'Year 2'!AG37</f>
        <v>49</v>
      </c>
      <c r="AH37" s="841">
        <f>'Year 2'!AH37</f>
        <v>49</v>
      </c>
      <c r="AI37" s="840"/>
      <c r="AJ37" s="841">
        <f>IF(AND('Year 1'!$B37=$AD$25),$AF$25,IF(AND('Year 1'!$B37=$AD$26),$AF$26,IF(AND('Year 1'!$B37=$AD$27),$AF$27,IF(AND('Year 1'!$B37=$AD$28),$AF$28,IF(AND('Year 1'!$B37=$AD$29),$AF$29,0)))))</f>
        <v>0</v>
      </c>
      <c r="AK37" s="841">
        <f>IF(AND('Year 1'!$B37=$AD$37),$AF$37,IF(AND('Year 1'!$B37=$AD$38),$AF$38,IF(AND('Year 1'!$B37=$AD$39),$AF$39,IF(AND('Year 1'!$B37=$AD$40),$AF$40,IF(AND('Year 1'!$B37=$AD$41),$AF$41,0)))))</f>
        <v>0</v>
      </c>
      <c r="AL37" s="841">
        <f>IF(AND('Year 1'!$B37=$AD$48),$AF$48,IF(AND('Year 1'!$B37=$AD$49),$AF$49,IF(AND('Year 1'!$B37=$AD$50),$AF$50,IF(AND('Year 1'!$B37=$AD$51),$AF$51,IF(AND('Year 1'!$B37=$AD$52),$AF$52,0)))))</f>
        <v>0</v>
      </c>
      <c r="AM37" s="841">
        <f>IF(AND('Year 1'!$B37=$AD$60),$AF$60,IF(AND('Year 1'!$B37=$AD$61),$AF$61,IF(AND('Year 1'!$B37=$AD$62),$AF$62,IF(AND('Year 1'!$B37=$AD$63),$AF$63,IF(AND('Year 1'!$B37=$AD$64),$AF$64,0)))))</f>
        <v>0</v>
      </c>
      <c r="AN37" s="840"/>
      <c r="AO37" s="840"/>
      <c r="AP37" s="840"/>
      <c r="AQ37" s="831"/>
      <c r="AR37" s="831"/>
      <c r="AS37" s="828"/>
      <c r="AT37" s="828"/>
      <c r="BE37" s="95"/>
    </row>
    <row r="38" spans="2:57" ht="13.5" customHeight="1">
      <c r="B38" s="606"/>
      <c r="C38" s="1055">
        <f>IF(Subcontracts!$F$5=0,"",IF(Subcontracts!$F$5&gt;=3,+'Year 2'!C38:D39,""))</f>
        <v>0</v>
      </c>
      <c r="D38" s="1019"/>
      <c r="E38" s="1032">
        <f>IF(Subcontracts!$F$5=0,"",IF(Subcontracts!$F$5&gt;=3,+'Year 2'!E38:E39,""))</f>
        <v>0</v>
      </c>
      <c r="F38" s="1054">
        <f>IF(Subcontracts!$F$5=0,"",IF(Subcontracts!$F$5&gt;=3,+'Year 2'!F38:F39,""))</f>
        <v>0</v>
      </c>
      <c r="G38" s="1054">
        <f>IF(Subcontracts!$F$5=0,"",IF(Subcontracts!$F$5&gt;=3,+'Year 2'!G38:G39,""))</f>
        <v>0</v>
      </c>
      <c r="H38" s="1004">
        <f>IF(Subcontracts!$F$5=0,"",IF(Subcontracts!$F$5&gt;=3,+'Year 2'!H38:H39,""))</f>
        <v>0</v>
      </c>
      <c r="I38" s="97"/>
      <c r="J38" s="87"/>
      <c r="K38" s="87"/>
      <c r="L38" s="88"/>
      <c r="M38" s="101"/>
      <c r="N38" s="101"/>
      <c r="O38" s="102"/>
      <c r="P38" s="594"/>
      <c r="Q38" s="591"/>
      <c r="R38" s="591"/>
      <c r="S38" s="591"/>
      <c r="T38" s="595"/>
      <c r="U38" s="50"/>
      <c r="V38" s="50"/>
      <c r="W38" s="50"/>
      <c r="X38" s="50"/>
      <c r="Y38" s="50"/>
      <c r="AA38" s="831"/>
      <c r="AB38" s="832" t="str">
        <f>'Year 2'!AB38</f>
        <v>IFR Summer</v>
      </c>
      <c r="AC38" s="832"/>
      <c r="AD38" s="841">
        <f>'Year 2'!AD38</f>
        <v>14</v>
      </c>
      <c r="AE38" s="841">
        <f>'Year 2'!AE38</f>
        <v>15</v>
      </c>
      <c r="AF38" s="841">
        <f>'Year 2'!AF38</f>
        <v>15</v>
      </c>
      <c r="AG38" s="841">
        <f>'Year 2'!AG38</f>
        <v>15</v>
      </c>
      <c r="AH38" s="841">
        <f>'Year 2'!AH38</f>
        <v>15</v>
      </c>
      <c r="AI38" s="832"/>
      <c r="AJ38" s="841">
        <f>IF(AND('Year 1'!$B38=$AD$25),$AF$25,IF(AND('Year 1'!$B38=$AD$26),$AF$26,IF(AND('Year 1'!$B38=$AD$27),$AF$27,IF(AND('Year 1'!$B38=$AD$28),$AF$28,IF(AND('Year 1'!$B38=$AD$29),$AF$29,0)))))</f>
        <v>0</v>
      </c>
      <c r="AK38" s="841">
        <f>IF(AND('Year 1'!$B38=$AD$37),$AF$37,IF(AND('Year 1'!$B38=$AD$38),$AF$38,IF(AND('Year 1'!$B38=$AD$39),$AF$39,IF(AND('Year 1'!$B38=$AD$40),$AF$40,IF(AND('Year 1'!$B38=$AD$41),$AF$41,0)))))</f>
        <v>0</v>
      </c>
      <c r="AL38" s="841">
        <f>IF(AND('Year 1'!$B38=$AD$48),$AF$48,IF(AND('Year 1'!$B38=$AD$49),$AF$49,IF(AND('Year 1'!$B38=$AD$50),$AF$50,IF(AND('Year 1'!$B38=$AD$51),$AF$51,IF(AND('Year 1'!$B38=$AD$52),$AF$52,0)))))</f>
        <v>0</v>
      </c>
      <c r="AM38" s="841">
        <f>IF(AND('Year 1'!$B38=$AD$60),$AF$60,IF(AND('Year 1'!$B38=$AD$61),$AF$61,IF(AND('Year 1'!$B38=$AD$62),$AF$62,IF(AND('Year 1'!$B38=$AD$63),$AF$63,IF(AND('Year 1'!$B38=$AD$64),$AF$64,0)))))</f>
        <v>0</v>
      </c>
      <c r="AN38" s="832"/>
      <c r="AO38" s="832"/>
      <c r="AP38" s="840"/>
      <c r="AQ38" s="831"/>
      <c r="AR38" s="831"/>
      <c r="AS38" s="828"/>
      <c r="AT38" s="828"/>
      <c r="BE38" s="95"/>
    </row>
    <row r="39" spans="2:57" ht="13.5" customHeight="1">
      <c r="B39" s="605">
        <f>IF(AND(Subcontracts!$Z$50=1),AJ39,IF(AND(Subcontracts!$Z$50=2),AK39,IF(AND(Subcontracts!$Z$50=3),AL39,IF(AND(Subcontracts!$Z$50=4),AM39,0))))</f>
        <v>0</v>
      </c>
      <c r="C39" s="1020"/>
      <c r="D39" s="1021"/>
      <c r="E39" s="1033"/>
      <c r="F39" s="1005"/>
      <c r="G39" s="1005"/>
      <c r="H39" s="1005"/>
      <c r="I39" s="90">
        <f>IF(Subcontracts!$F$5&gt;=3,+'Year 2'!I39+('Year 2'!I39*('Year 2'!$D$2/100)),)</f>
        <v>0</v>
      </c>
      <c r="J39" s="91">
        <f>IF(Subcontracts!$F$5&gt;=3,(((I39/12)*F38)+((I39/9)*G38)+((I39/3)*H38)),)</f>
        <v>0</v>
      </c>
      <c r="K39" s="92">
        <f>(B39/100)*J39</f>
        <v>0</v>
      </c>
      <c r="L39" s="93">
        <f>J39+K39</f>
        <v>0</v>
      </c>
      <c r="M39" s="94"/>
      <c r="N39" s="94"/>
      <c r="O39" s="95"/>
      <c r="P39" s="592"/>
      <c r="Q39" s="593"/>
      <c r="R39" s="593"/>
      <c r="S39" s="593"/>
      <c r="T39" s="590"/>
      <c r="AA39" s="831"/>
      <c r="AB39" s="832" t="str">
        <f>'Year 2'!AB39</f>
        <v>Graduate</v>
      </c>
      <c r="AC39" s="832"/>
      <c r="AD39" s="841">
        <f>'Year 2'!AD39</f>
        <v>15</v>
      </c>
      <c r="AE39" s="841">
        <f>'Year 2'!AE39</f>
        <v>16</v>
      </c>
      <c r="AF39" s="841">
        <f>'Year 2'!AF39</f>
        <v>17</v>
      </c>
      <c r="AG39" s="841">
        <f>'Year 2'!AG39</f>
        <v>17</v>
      </c>
      <c r="AH39" s="841">
        <f>'Year 2'!AH39</f>
        <v>17</v>
      </c>
      <c r="AI39" s="840"/>
      <c r="AJ39" s="841">
        <f>IF(AND('Year 1'!$B39=$AD$25),$AF$25,IF(AND('Year 1'!$B39=$AD$26),$AF$26,IF(AND('Year 1'!$B39=$AD$27),$AF$27,IF(AND('Year 1'!$B39=$AD$28),$AF$28,IF(AND('Year 1'!$B39=$AD$29),$AF$29,0)))))</f>
        <v>0</v>
      </c>
      <c r="AK39" s="841">
        <f>IF(AND('Year 1'!$B39=$AD$37),$AF$37,IF(AND('Year 1'!$B39=$AD$38),$AF$38,IF(AND('Year 1'!$B39=$AD$39),$AF$39,IF(AND('Year 1'!$B39=$AD$40),$AF$40,IF(AND('Year 1'!$B39=$AD$41),$AF$41,0)))))</f>
        <v>0</v>
      </c>
      <c r="AL39" s="841">
        <f>IF(AND('Year 1'!$B39=$AD$48),$AF$48,IF(AND('Year 1'!$B39=$AD$49),$AF$49,IF(AND('Year 1'!$B39=$AD$50),$AF$50,IF(AND('Year 1'!$B39=$AD$51),$AF$51,IF(AND('Year 1'!$B39=$AD$52),$AF$52,0)))))</f>
        <v>0</v>
      </c>
      <c r="AM39" s="841">
        <f>IF(AND('Year 1'!$B39=$AD$60),$AF$60,IF(AND('Year 1'!$B39=$AD$61),$AF$61,IF(AND('Year 1'!$B39=$AD$62),$AF$62,IF(AND('Year 1'!$B39=$AD$63),$AF$63,IF(AND('Year 1'!$B39=$AD$64),$AF$64,0)))))</f>
        <v>0</v>
      </c>
      <c r="AN39" s="840"/>
      <c r="AO39" s="840"/>
      <c r="AP39" s="840"/>
      <c r="AQ39" s="831"/>
      <c r="AR39" s="831"/>
      <c r="AS39" s="828"/>
      <c r="AT39" s="828"/>
      <c r="BE39" s="95"/>
    </row>
    <row r="40" spans="2:57" ht="13.5" customHeight="1">
      <c r="B40" s="606"/>
      <c r="C40" s="1018">
        <f>IF(Subcontracts!$F$5=0,"",IF(Subcontracts!$F$5&gt;=3,+'Year 2'!C40:D41,""))</f>
        <v>0</v>
      </c>
      <c r="D40" s="1019"/>
      <c r="E40" s="1040">
        <f>IF(Subcontracts!$F$5=0,"",IF(Subcontracts!$F$5&gt;=3,+'Year 2'!E40:E41,""))</f>
        <v>0</v>
      </c>
      <c r="F40" s="1054">
        <f>IF(Subcontracts!$F$5=0,"",IF(Subcontracts!$F$5&gt;=3,+'Year 2'!F40:F41,""))</f>
        <v>0</v>
      </c>
      <c r="G40" s="1054">
        <f>IF(Subcontracts!$F$5=0,"",IF(Subcontracts!$F$5&gt;=3,+'Year 2'!G40:G41,""))</f>
        <v>0</v>
      </c>
      <c r="H40" s="1004">
        <f>IF(Subcontracts!$F$5=0,"",IF(Subcontracts!$F$5&gt;=3,+'Year 2'!H40:H41,""))</f>
        <v>0</v>
      </c>
      <c r="I40" s="97"/>
      <c r="J40" s="87"/>
      <c r="K40" s="87"/>
      <c r="L40" s="88"/>
      <c r="M40" s="101"/>
      <c r="N40" s="101"/>
      <c r="O40" s="102"/>
      <c r="P40" s="594"/>
      <c r="Q40" s="591"/>
      <c r="R40" s="591"/>
      <c r="S40" s="591"/>
      <c r="T40" s="590"/>
      <c r="AA40" s="831"/>
      <c r="AB40" s="832" t="str">
        <f>'Year 2'!AB40</f>
        <v>Undergrad</v>
      </c>
      <c r="AC40" s="832"/>
      <c r="AD40" s="841">
        <f>'Year 2'!AD40</f>
        <v>5</v>
      </c>
      <c r="AE40" s="841">
        <f>'Year 2'!AE40</f>
        <v>5</v>
      </c>
      <c r="AF40" s="841">
        <f>'Year 2'!AF40</f>
        <v>5</v>
      </c>
      <c r="AG40" s="841">
        <f>'Year 2'!AG40</f>
        <v>5</v>
      </c>
      <c r="AH40" s="841">
        <f>'Year 2'!AH40</f>
        <v>5</v>
      </c>
      <c r="AI40" s="832"/>
      <c r="AJ40" s="841">
        <f>IF(AND('Year 1'!$B40=$AD$25),$AF$25,IF(AND('Year 1'!$B40=$AD$26),$AF$26,IF(AND('Year 1'!$B40=$AD$27),$AF$27,IF(AND('Year 1'!$B40=$AD$28),$AF$28,IF(AND('Year 1'!$B40=$AD$29),$AF$29,0)))))</f>
        <v>0</v>
      </c>
      <c r="AK40" s="841">
        <f>IF(AND('Year 1'!$B40=$AD$37),$AF$37,IF(AND('Year 1'!$B40=$AD$38),$AF$38,IF(AND('Year 1'!$B40=$AD$39),$AF$39,IF(AND('Year 1'!$B40=$AD$40),$AF$40,IF(AND('Year 1'!$B40=$AD$41),$AF$41,0)))))</f>
        <v>0</v>
      </c>
      <c r="AL40" s="841">
        <f>IF(AND('Year 1'!$B40=$AD$48),$AF$48,IF(AND('Year 1'!$B40=$AD$49),$AF$49,IF(AND('Year 1'!$B40=$AD$50),$AF$50,IF(AND('Year 1'!$B40=$AD$51),$AF$51,IF(AND('Year 1'!$B40=$AD$52),$AF$52,0)))))</f>
        <v>0</v>
      </c>
      <c r="AM40" s="841">
        <f>IF(AND('Year 1'!$B40=$AD$60),$AF$60,IF(AND('Year 1'!$B40=$AD$61),$AF$61,IF(AND('Year 1'!$B40=$AD$62),$AF$62,IF(AND('Year 1'!$B40=$AD$63),$AF$63,IF(AND('Year 1'!$B40=$AD$64),$AF$64,0)))))</f>
        <v>0</v>
      </c>
      <c r="AN40" s="832"/>
      <c r="AO40" s="832"/>
      <c r="AP40" s="840"/>
      <c r="AQ40" s="831"/>
      <c r="AR40" s="831"/>
      <c r="AS40" s="828"/>
      <c r="AT40" s="828"/>
      <c r="BE40" s="95"/>
    </row>
    <row r="41" spans="2:57" ht="13.5" customHeight="1">
      <c r="B41" s="605">
        <f>IF(AND(Subcontracts!$Z$50=1),AJ41,IF(AND(Subcontracts!$Z$50=2),AK41,IF(AND(Subcontracts!$Z$50=3),AL41,IF(AND(Subcontracts!$Z$50=4),AM41,0))))</f>
        <v>0</v>
      </c>
      <c r="C41" s="1020"/>
      <c r="D41" s="1021"/>
      <c r="E41" s="1041"/>
      <c r="F41" s="1005"/>
      <c r="G41" s="1005"/>
      <c r="H41" s="1005"/>
      <c r="I41" s="90">
        <f>IF(Subcontracts!$F$5&gt;=3,+'Year 2'!I41+('Year 2'!I41*('Year 2'!$D$2/100)),)</f>
        <v>0</v>
      </c>
      <c r="J41" s="91">
        <f>IF(Subcontracts!$F$5&gt;=3,(((I41/12)*F40)+((I41/9)*G40)+((I41/3)*H40)),)</f>
        <v>0</v>
      </c>
      <c r="K41" s="92">
        <f>(B41/100)*J41</f>
        <v>0</v>
      </c>
      <c r="L41" s="93">
        <f>J41+K41</f>
        <v>0</v>
      </c>
      <c r="M41" s="94"/>
      <c r="N41" s="94"/>
      <c r="O41" s="95"/>
      <c r="P41" s="592"/>
      <c r="Q41" s="593"/>
      <c r="R41" s="593"/>
      <c r="S41" s="593"/>
      <c r="T41" s="590"/>
      <c r="AA41" s="831"/>
      <c r="AB41" s="832" t="str">
        <f>'Year 2'!AB41</f>
        <v>IFR</v>
      </c>
      <c r="AC41" s="832"/>
      <c r="AD41" s="841">
        <f>'Year 2'!AD41</f>
        <v>57.75</v>
      </c>
      <c r="AE41" s="841">
        <f>'Year 2'!AE41</f>
        <v>59.38</v>
      </c>
      <c r="AF41" s="841">
        <f>'Year 2'!AF41</f>
        <v>61.645</v>
      </c>
      <c r="AG41" s="841">
        <f>'Year 2'!AG41</f>
        <v>64.05</v>
      </c>
      <c r="AH41" s="841">
        <f>'Year 2'!AH41</f>
        <v>64.05</v>
      </c>
      <c r="AI41" s="840"/>
      <c r="AJ41" s="841">
        <f>IF(AND('Year 1'!$B41=$AD$25),$AF$25,IF(AND('Year 1'!$B41=$AD$26),$AF$26,IF(AND('Year 1'!$B41=$AD$27),$AF$27,IF(AND('Year 1'!$B41=$AD$28),$AF$28,IF(AND('Year 1'!$B41=$AD$29),$AF$29,0)))))</f>
        <v>0</v>
      </c>
      <c r="AK41" s="841">
        <f>IF(AND('Year 1'!$B41=$AD$37),$AF$37,IF(AND('Year 1'!$B41=$AD$38),$AF$38,IF(AND('Year 1'!$B41=$AD$39),$AF$39,IF(AND('Year 1'!$B41=$AD$40),$AF$40,IF(AND('Year 1'!$B41=$AD$41),$AF$41,0)))))</f>
        <v>0</v>
      </c>
      <c r="AL41" s="841">
        <f>IF(AND('Year 1'!$B41=$AD$48),$AF$48,IF(AND('Year 1'!$B41=$AD$49),$AF$49,IF(AND('Year 1'!$B41=$AD$50),$AF$50,IF(AND('Year 1'!$B41=$AD$51),$AF$51,IF(AND('Year 1'!$B41=$AD$52),$AF$52,0)))))</f>
        <v>0</v>
      </c>
      <c r="AM41" s="841">
        <f>IF(AND('Year 1'!$B41=$AD$60),$AF$60,IF(AND('Year 1'!$B41=$AD$61),$AF$61,IF(AND('Year 1'!$B41=$AD$62),$AF$62,IF(AND('Year 1'!$B41=$AD$63),$AF$63,IF(AND('Year 1'!$B41=$AD$64),$AF$64,0)))))</f>
        <v>0</v>
      </c>
      <c r="AN41" s="840"/>
      <c r="AO41" s="840"/>
      <c r="AP41" s="840"/>
      <c r="AQ41" s="831"/>
      <c r="AR41" s="831"/>
      <c r="AS41" s="828"/>
      <c r="AT41" s="828"/>
      <c r="BE41" s="95"/>
    </row>
    <row r="42" spans="2:46" ht="13.5" customHeight="1">
      <c r="B42" s="606"/>
      <c r="C42" s="1018">
        <f>IF(Subcontracts!$F$5=0,"",IF(Subcontracts!$F$5&gt;=3,+'Year 2'!C42:D43,""))</f>
        <v>0</v>
      </c>
      <c r="D42" s="1019"/>
      <c r="E42" s="1040">
        <f>IF(Subcontracts!$F$5=0,"",IF(Subcontracts!$F$5&gt;=3,+'Year 2'!E42:E43,""))</f>
        <v>0</v>
      </c>
      <c r="F42" s="1054">
        <f>IF(Subcontracts!$F$5=0,"",IF(Subcontracts!$F$5&gt;=3,+'Year 2'!F42:F43,""))</f>
        <v>0</v>
      </c>
      <c r="G42" s="1054">
        <f>IF(Subcontracts!$F$5=0,"",IF(Subcontracts!$F$5&gt;=3,+'Year 2'!G42:G43,""))</f>
        <v>0</v>
      </c>
      <c r="H42" s="1004">
        <f>IF(Subcontracts!$F$5=0,"",IF(Subcontracts!$F$5&gt;=3,+'Year 2'!H42:H43,""))</f>
        <v>0</v>
      </c>
      <c r="I42" s="97"/>
      <c r="J42" s="87"/>
      <c r="K42" s="87"/>
      <c r="L42" s="88"/>
      <c r="M42" s="101"/>
      <c r="N42" s="101"/>
      <c r="O42" s="102"/>
      <c r="P42" s="592"/>
      <c r="Q42" s="591"/>
      <c r="R42" s="591"/>
      <c r="S42" s="591"/>
      <c r="T42" s="590"/>
      <c r="AA42" s="831"/>
      <c r="AB42" s="832" t="str">
        <f>'Year 2'!AB42</f>
        <v>F&amp;A</v>
      </c>
      <c r="AC42" s="832"/>
      <c r="AD42" s="841">
        <f>'Year 2'!AD42</f>
        <v>59.5</v>
      </c>
      <c r="AE42" s="841">
        <f>'Year 2'!AE42</f>
        <v>59.5</v>
      </c>
      <c r="AF42" s="841">
        <f>'Year 2'!AF42</f>
        <v>59.5</v>
      </c>
      <c r="AG42" s="841">
        <f>'Year 2'!AG42</f>
        <v>59.5</v>
      </c>
      <c r="AH42" s="841">
        <f>'Year 2'!AH42</f>
        <v>59.5</v>
      </c>
      <c r="AI42" s="832"/>
      <c r="AJ42" s="841">
        <f>IF(AND('Year 1'!$B42=$AD$25),$AF$25,IF(AND('Year 1'!$B42=$AD$26),$AF$26,IF(AND('Year 1'!$B42=$AD$27),$AF$27,IF(AND('Year 1'!$B42=$AD$28),$AF$28,IF(AND('Year 1'!$B42=$AD$29),$AF$29,0)))))</f>
        <v>0</v>
      </c>
      <c r="AK42" s="841">
        <f>IF(AND('Year 1'!$B42=$AD$37),$AF$37,IF(AND('Year 1'!$B42=$AD$38),$AF$38,IF(AND('Year 1'!$B42=$AD$39),$AF$39,IF(AND('Year 1'!$B42=$AD$40),$AF$40,IF(AND('Year 1'!$B42=$AD$41),$AF$41,0)))))</f>
        <v>0</v>
      </c>
      <c r="AL42" s="841">
        <f>IF(AND('Year 1'!$B42=$AD$48),$AF$48,IF(AND('Year 1'!$B42=$AD$49),$AF$49,IF(AND('Year 1'!$B42=$AD$50),$AF$50,IF(AND('Year 1'!$B42=$AD$51),$AF$51,IF(AND('Year 1'!$B42=$AD$52),$AF$52,0)))))</f>
        <v>0</v>
      </c>
      <c r="AM42" s="841">
        <f>IF(AND('Year 1'!$B42=$AD$60),$AF$60,IF(AND('Year 1'!$B42=$AD$61),$AF$61,IF(AND('Year 1'!$B42=$AD$62),$AF$62,IF(AND('Year 1'!$B42=$AD$63),$AF$63,IF(AND('Year 1'!$B42=$AD$64),$AF$64,0)))))</f>
        <v>0</v>
      </c>
      <c r="AN42" s="832"/>
      <c r="AO42" s="832"/>
      <c r="AP42" s="840"/>
      <c r="AQ42" s="831"/>
      <c r="AR42" s="831"/>
      <c r="AS42" s="828"/>
      <c r="AT42" s="828"/>
    </row>
    <row r="43" spans="2:46" ht="13.5" customHeight="1">
      <c r="B43" s="605">
        <f>IF(AND(Subcontracts!$Z$50=1),AJ43,IF(AND(Subcontracts!$Z$50=2),AK43,IF(AND(Subcontracts!$Z$50=3),AL43,IF(AND(Subcontracts!$Z$50=4),AM43,0))))</f>
        <v>0</v>
      </c>
      <c r="C43" s="1020"/>
      <c r="D43" s="1021"/>
      <c r="E43" s="1045"/>
      <c r="F43" s="1005"/>
      <c r="G43" s="1005"/>
      <c r="H43" s="1005"/>
      <c r="I43" s="99">
        <f>IF(Subcontracts!$F$5&gt;=3,+'Year 2'!I43+('Year 2'!I43*('Year 2'!$D$2/100)),)</f>
        <v>0</v>
      </c>
      <c r="J43" s="91">
        <f>IF(Subcontracts!$F$5&gt;=3,(((I43/12)*F42)+((I43/9)*G42)+((I43/3)*H42)),)</f>
        <v>0</v>
      </c>
      <c r="K43" s="92">
        <f>(B43/100)*J43</f>
        <v>0</v>
      </c>
      <c r="L43" s="93">
        <f>J43+K43</f>
        <v>0</v>
      </c>
      <c r="N43" s="94"/>
      <c r="O43" s="95"/>
      <c r="P43" s="592"/>
      <c r="Q43" s="593"/>
      <c r="R43" s="593"/>
      <c r="S43" s="593"/>
      <c r="T43" s="590"/>
      <c r="AA43" s="831"/>
      <c r="AB43" s="832">
        <f>'Year 2'!AB43</f>
        <v>0</v>
      </c>
      <c r="AC43" s="832"/>
      <c r="AD43" s="841">
        <f>'Year 2'!AD43</f>
        <v>0</v>
      </c>
      <c r="AE43" s="841">
        <f>'Year 2'!AE43</f>
        <v>0</v>
      </c>
      <c r="AF43" s="841">
        <f>'Year 2'!AF43</f>
        <v>0</v>
      </c>
      <c r="AG43" s="841">
        <f>'Year 2'!AG43</f>
        <v>0</v>
      </c>
      <c r="AH43" s="841">
        <f>'Year 2'!AH43</f>
        <v>0</v>
      </c>
      <c r="AI43" s="840"/>
      <c r="AJ43" s="841">
        <f>IF(AND('Year 1'!$B43=$AD$25),$AF$25,IF(AND('Year 1'!$B43=$AD$26),$AF$26,IF(AND('Year 1'!$B43=$AD$27),$AF$27,IF(AND('Year 1'!$B43=$AD$28),$AF$28,IF(AND('Year 1'!$B43=$AD$29),$AF$29,0)))))</f>
        <v>0</v>
      </c>
      <c r="AK43" s="841">
        <f>IF(AND('Year 1'!$B43=$AD$37),$AF$37,IF(AND('Year 1'!$B43=$AD$38),$AF$38,IF(AND('Year 1'!$B43=$AD$39),$AF$39,IF(AND('Year 1'!$B43=$AD$40),$AF$40,IF(AND('Year 1'!$B43=$AD$41),$AF$41,0)))))</f>
        <v>0</v>
      </c>
      <c r="AL43" s="841">
        <f>IF(AND('Year 1'!$B43=$AD$48),$AF$48,IF(AND('Year 1'!$B43=$AD$49),$AF$49,IF(AND('Year 1'!$B43=$AD$50),$AF$50,IF(AND('Year 1'!$B43=$AD$51),$AF$51,IF(AND('Year 1'!$B43=$AD$52),$AF$52,0)))))</f>
        <v>0</v>
      </c>
      <c r="AM43" s="841">
        <f>IF(AND('Year 1'!$B43=$AD$60),$AF$60,IF(AND('Year 1'!$B43=$AD$61),$AF$61,IF(AND('Year 1'!$B43=$AD$62),$AF$62,IF(AND('Year 1'!$B43=$AD$63),$AF$63,IF(AND('Year 1'!$B43=$AD$64),$AF$64,0)))))</f>
        <v>0</v>
      </c>
      <c r="AN43" s="840"/>
      <c r="AO43" s="840"/>
      <c r="AP43" s="840"/>
      <c r="AQ43" s="831"/>
      <c r="AR43" s="831"/>
      <c r="AS43" s="828"/>
      <c r="AT43" s="828"/>
    </row>
    <row r="44" spans="2:46" ht="13.5" customHeight="1">
      <c r="B44" s="606"/>
      <c r="C44" s="1018">
        <f>IF(Subcontracts!$F$5=0,"",IF(Subcontracts!$F$5&gt;=3,+'Year 2'!C44:D45,""))</f>
        <v>0</v>
      </c>
      <c r="D44" s="1019"/>
      <c r="E44" s="1044">
        <f>IF(Subcontracts!$F$5=0,"",IF(Subcontracts!$F$5&gt;=3,+'Year 2'!E44:E45,""))</f>
        <v>0</v>
      </c>
      <c r="F44" s="1054">
        <f>IF(Subcontracts!$F$5=0,"",IF(Subcontracts!$F$5&gt;=3,+'Year 2'!F44:F45,""))</f>
        <v>0</v>
      </c>
      <c r="G44" s="1054">
        <f>IF(Subcontracts!$F$5=0,"",IF(Subcontracts!$F$5&gt;=3,+'Year 2'!G44:G45,""))</f>
        <v>0</v>
      </c>
      <c r="H44" s="1004">
        <f>IF(Subcontracts!$F$5=0,"",IF(Subcontracts!$F$5&gt;=3,+'Year 2'!H44:H45,""))</f>
        <v>0</v>
      </c>
      <c r="I44" s="97"/>
      <c r="J44" s="87"/>
      <c r="K44" s="87"/>
      <c r="L44" s="88"/>
      <c r="M44" s="50"/>
      <c r="N44" s="101"/>
      <c r="O44" s="102"/>
      <c r="P44" s="594"/>
      <c r="Q44" s="591"/>
      <c r="R44" s="591"/>
      <c r="S44" s="591"/>
      <c r="T44" s="595"/>
      <c r="U44" s="50"/>
      <c r="V44" s="50"/>
      <c r="W44" s="50"/>
      <c r="X44" s="50"/>
      <c r="Y44" s="50"/>
      <c r="Z44" s="50"/>
      <c r="AA44" s="842"/>
      <c r="AB44" s="832">
        <f>'Year 2'!AB44</f>
        <v>0</v>
      </c>
      <c r="AC44" s="845"/>
      <c r="AD44" s="841">
        <f>'Year 2'!AD44</f>
        <v>0</v>
      </c>
      <c r="AE44" s="841">
        <f>'Year 2'!AE44</f>
        <v>0</v>
      </c>
      <c r="AF44" s="841">
        <f>'Year 2'!AF44</f>
        <v>0</v>
      </c>
      <c r="AG44" s="841">
        <f>'Year 2'!AG44</f>
        <v>0</v>
      </c>
      <c r="AH44" s="841">
        <f>'Year 2'!AH44</f>
        <v>0</v>
      </c>
      <c r="AI44" s="832"/>
      <c r="AJ44" s="841">
        <f>IF(AND('Year 1'!$B44=$AD$25),$AF$25,IF(AND('Year 1'!$B44=$AD$26),$AF$26,IF(AND('Year 1'!$B44=$AD$27),$AF$27,IF(AND('Year 1'!$B44=$AD$28),$AF$28,IF(AND('Year 1'!$B44=$AD$29),$AF$29,0)))))</f>
        <v>0</v>
      </c>
      <c r="AK44" s="841">
        <f>IF(AND('Year 1'!$B44=$AD$37),$AF$37,IF(AND('Year 1'!$B44=$AD$38),$AF$38,IF(AND('Year 1'!$B44=$AD$39),$AF$39,IF(AND('Year 1'!$B44=$AD$40),$AF$40,IF(AND('Year 1'!$B44=$AD$41),$AF$41,0)))))</f>
        <v>0</v>
      </c>
      <c r="AL44" s="841">
        <f>IF(AND('Year 1'!$B44=$AD$48),$AF$48,IF(AND('Year 1'!$B44=$AD$49),$AF$49,IF(AND('Year 1'!$B44=$AD$50),$AF$50,IF(AND('Year 1'!$B44=$AD$51),$AF$51,IF(AND('Year 1'!$B44=$AD$52),$AF$52,0)))))</f>
        <v>0</v>
      </c>
      <c r="AM44" s="841">
        <f>IF(AND('Year 1'!$B44=$AD$60),$AF$60,IF(AND('Year 1'!$B44=$AD$61),$AF$61,IF(AND('Year 1'!$B44=$AD$62),$AF$62,IF(AND('Year 1'!$B44=$AD$63),$AF$63,IF(AND('Year 1'!$B44=$AD$64),$AF$64,0)))))</f>
        <v>0</v>
      </c>
      <c r="AN44" s="832"/>
      <c r="AO44" s="832"/>
      <c r="AP44" s="840"/>
      <c r="AQ44" s="831"/>
      <c r="AR44" s="831"/>
      <c r="AS44" s="828"/>
      <c r="AT44" s="828"/>
    </row>
    <row r="45" spans="2:46" ht="13.5" customHeight="1">
      <c r="B45" s="605">
        <f>IF(AND(Subcontracts!$Z$50=1),AJ45,IF(AND(Subcontracts!$Z$50=2),AK45,IF(AND(Subcontracts!$Z$50=3),AL45,IF(AND(Subcontracts!$Z$50=4),AM45,0))))</f>
        <v>0</v>
      </c>
      <c r="C45" s="1020"/>
      <c r="D45" s="1021"/>
      <c r="E45" s="1045"/>
      <c r="F45" s="1005"/>
      <c r="G45" s="1005"/>
      <c r="H45" s="1005"/>
      <c r="I45" s="99">
        <f>IF(Subcontracts!$F$5&gt;=3,+'Year 2'!I45+('Year 2'!I45*('Year 2'!$D$2/100)),)</f>
        <v>0</v>
      </c>
      <c r="J45" s="91">
        <f>IF(Subcontracts!$F$5&gt;=3,(((I45/12)*F44)+((I45/9)*G44)+((I45/3)*H44)),)</f>
        <v>0</v>
      </c>
      <c r="K45" s="92">
        <f>(B45/100)*J45</f>
        <v>0</v>
      </c>
      <c r="L45" s="93">
        <f>J45+K45</f>
        <v>0</v>
      </c>
      <c r="N45" s="94"/>
      <c r="O45" s="95"/>
      <c r="P45" s="592"/>
      <c r="Q45" s="593"/>
      <c r="R45" s="593"/>
      <c r="S45" s="593"/>
      <c r="T45" s="590"/>
      <c r="AA45" s="831"/>
      <c r="AB45" s="832" t="str">
        <f>'Year 2'!AB45</f>
        <v>number 3</v>
      </c>
      <c r="AC45" s="832"/>
      <c r="AD45" s="841">
        <f>'Year 2'!AD45</f>
        <v>0</v>
      </c>
      <c r="AE45" s="841">
        <f>'Year 2'!AE45</f>
        <v>0</v>
      </c>
      <c r="AF45" s="841">
        <f>'Year 2'!AF45</f>
        <v>0</v>
      </c>
      <c r="AG45" s="841">
        <f>'Year 2'!AG45</f>
        <v>0</v>
      </c>
      <c r="AH45" s="841">
        <f>'Year 2'!AH45</f>
        <v>0</v>
      </c>
      <c r="AI45" s="840"/>
      <c r="AJ45" s="841">
        <f>IF(AND('Year 1'!$B45=$AD$25),$AF$25,IF(AND('Year 1'!$B45=$AD$26),$AF$26,IF(AND('Year 1'!$B45=$AD$27),$AF$27,IF(AND('Year 1'!$B45=$AD$28),$AF$28,IF(AND('Year 1'!$B45=$AD$29),$AF$29,0)))))</f>
        <v>0</v>
      </c>
      <c r="AK45" s="841">
        <f>IF(AND('Year 1'!$B45=$AD$37),$AF$37,IF(AND('Year 1'!$B45=$AD$38),$AF$38,IF(AND('Year 1'!$B45=$AD$39),$AF$39,IF(AND('Year 1'!$B45=$AD$40),$AF$40,IF(AND('Year 1'!$B45=$AD$41),$AF$41,0)))))</f>
        <v>0</v>
      </c>
      <c r="AL45" s="841">
        <f>IF(AND('Year 1'!$B45=$AD$48),$AF$48,IF(AND('Year 1'!$B45=$AD$49),$AF$49,IF(AND('Year 1'!$B45=$AD$50),$AF$50,IF(AND('Year 1'!$B45=$AD$51),$AF$51,IF(AND('Year 1'!$B45=$AD$52),$AF$52,0)))))</f>
        <v>0</v>
      </c>
      <c r="AM45" s="841">
        <f>IF(AND('Year 1'!$B45=$AD$60),$AF$60,IF(AND('Year 1'!$B45=$AD$61),$AF$61,IF(AND('Year 1'!$B45=$AD$62),$AF$62,IF(AND('Year 1'!$B45=$AD$63),$AF$63,IF(AND('Year 1'!$B45=$AD$64),$AF$64,0)))))</f>
        <v>0</v>
      </c>
      <c r="AN45" s="840"/>
      <c r="AO45" s="840"/>
      <c r="AP45" s="840"/>
      <c r="AQ45" s="831"/>
      <c r="AR45" s="831"/>
      <c r="AS45" s="828"/>
      <c r="AT45" s="828"/>
    </row>
    <row r="46" spans="2:46" ht="13.5" customHeight="1">
      <c r="B46" s="606"/>
      <c r="C46" s="1018">
        <f>IF(Subcontracts!$F$5=0,"",IF(Subcontracts!$F$5&gt;=3,+'Year 2'!C46:D47,""))</f>
        <v>0</v>
      </c>
      <c r="D46" s="1019"/>
      <c r="E46" s="1044">
        <f>IF(Subcontracts!$F$5=0,"",IF(Subcontracts!$F$5&gt;=3,+'Year 2'!E46:E47,""))</f>
        <v>0</v>
      </c>
      <c r="F46" s="1054">
        <f>IF(Subcontracts!$F$5=0,"",IF(Subcontracts!$F$5&gt;=3,+'Year 2'!F46:F47,""))</f>
        <v>0</v>
      </c>
      <c r="G46" s="1054">
        <f>IF(Subcontracts!$F$5=0,"",IF(Subcontracts!$F$5&gt;=3,+'Year 2'!G46:G47,""))</f>
        <v>0</v>
      </c>
      <c r="H46" s="1004">
        <f>IF(Subcontracts!$F$5=0,"",IF(Subcontracts!$F$5&gt;=3,+'Year 2'!H46:H47,""))</f>
        <v>0</v>
      </c>
      <c r="I46" s="97"/>
      <c r="J46" s="87"/>
      <c r="K46" s="87"/>
      <c r="L46" s="88"/>
      <c r="N46" s="94"/>
      <c r="O46" s="95"/>
      <c r="P46" s="592"/>
      <c r="Q46" s="591"/>
      <c r="R46" s="591"/>
      <c r="S46" s="591"/>
      <c r="T46" s="590"/>
      <c r="AA46" s="831"/>
      <c r="AB46" s="832" t="str">
        <f>'Year 2'!AB46</f>
        <v>year 1 start between 1/1/18 - 12/31/18</v>
      </c>
      <c r="AC46" s="832"/>
      <c r="AD46" s="841">
        <f>'Year 2'!AD46</f>
        <v>0</v>
      </c>
      <c r="AE46" s="841">
        <f>'Year 2'!AE46</f>
        <v>0</v>
      </c>
      <c r="AF46" s="841">
        <f>'Year 2'!AF46</f>
        <v>0</v>
      </c>
      <c r="AG46" s="841">
        <f>'Year 2'!AG46</f>
        <v>0</v>
      </c>
      <c r="AH46" s="841">
        <f>'Year 2'!AH46</f>
        <v>0</v>
      </c>
      <c r="AI46" s="832"/>
      <c r="AJ46" s="841">
        <f>IF(AND('Year 1'!$B46=$AD$25),$AF$25,IF(AND('Year 1'!$B46=$AD$26),$AF$26,IF(AND('Year 1'!$B46=$AD$27),$AF$27,IF(AND('Year 1'!$B46=$AD$28),$AF$28,IF(AND('Year 1'!$B46=$AD$29),$AF$29,0)))))</f>
        <v>0</v>
      </c>
      <c r="AK46" s="841">
        <f>IF(AND('Year 1'!$B46=$AD$37),$AF$37,IF(AND('Year 1'!$B46=$AD$38),$AF$38,IF(AND('Year 1'!$B46=$AD$39),$AF$39,IF(AND('Year 1'!$B46=$AD$40),$AF$40,IF(AND('Year 1'!$B46=$AD$41),$AF$41,0)))))</f>
        <v>0</v>
      </c>
      <c r="AL46" s="841">
        <f>IF(AND('Year 1'!$B46=$AD$48),$AF$48,IF(AND('Year 1'!$B46=$AD$49),$AF$49,IF(AND('Year 1'!$B46=$AD$50),$AF$50,IF(AND('Year 1'!$B46=$AD$51),$AF$51,IF(AND('Year 1'!$B46=$AD$52),$AF$52,0)))))</f>
        <v>0</v>
      </c>
      <c r="AM46" s="841">
        <f>IF(AND('Year 1'!$B46=$AD$60),$AF$60,IF(AND('Year 1'!$B46=$AD$61),$AF$61,IF(AND('Year 1'!$B46=$AD$62),$AF$62,IF(AND('Year 1'!$B46=$AD$63),$AF$63,IF(AND('Year 1'!$B46=$AD$64),$AF$64,0)))))</f>
        <v>0</v>
      </c>
      <c r="AN46" s="832"/>
      <c r="AO46" s="832"/>
      <c r="AP46" s="840"/>
      <c r="AQ46" s="831"/>
      <c r="AR46" s="831"/>
      <c r="AS46" s="828"/>
      <c r="AT46" s="828"/>
    </row>
    <row r="47" spans="2:46" ht="13.5" customHeight="1">
      <c r="B47" s="605">
        <f>IF(AND(Subcontracts!$Z$50=1),AJ47,IF(AND(Subcontracts!$Z$50=2),AK47,IF(AND(Subcontracts!$Z$50=3),AL47,IF(AND(Subcontracts!$Z$50=4),AM47,0))))</f>
        <v>0</v>
      </c>
      <c r="C47" s="1020"/>
      <c r="D47" s="1021"/>
      <c r="E47" s="1045"/>
      <c r="F47" s="1005"/>
      <c r="G47" s="1005"/>
      <c r="H47" s="1005"/>
      <c r="I47" s="99">
        <f>IF(Subcontracts!$F$5&gt;=3,+'Year 2'!I47+('Year 2'!I47*('Year 2'!$D$2/100)),)</f>
        <v>0</v>
      </c>
      <c r="J47" s="91">
        <f>IF(Subcontracts!$F$5&gt;=3,(((I47/12)*F46)+((I47/9)*G46)+((I47/3)*H46)),)</f>
        <v>0</v>
      </c>
      <c r="K47" s="92">
        <f>(B47/100)*J47</f>
        <v>0</v>
      </c>
      <c r="L47" s="93">
        <f>J47+K47</f>
        <v>0</v>
      </c>
      <c r="N47" s="94"/>
      <c r="O47" s="95"/>
      <c r="P47" s="592"/>
      <c r="Q47" s="593"/>
      <c r="R47" s="593"/>
      <c r="S47" s="593"/>
      <c r="T47" s="590"/>
      <c r="AA47" s="831"/>
      <c r="AB47" s="832">
        <f>'Year 2'!AB47</f>
        <v>0</v>
      </c>
      <c r="AC47" s="832"/>
      <c r="AD47" s="841" t="str">
        <f>'Year 2'!AD47</f>
        <v>year 1</v>
      </c>
      <c r="AE47" s="841" t="str">
        <f>'Year 2'!AE47</f>
        <v>year 2</v>
      </c>
      <c r="AF47" s="841" t="str">
        <f>'Year 2'!AF47</f>
        <v>year 3</v>
      </c>
      <c r="AG47" s="841" t="str">
        <f>'Year 2'!AG47</f>
        <v>year 4</v>
      </c>
      <c r="AH47" s="841" t="str">
        <f>'Year 2'!AH47</f>
        <v>year 5</v>
      </c>
      <c r="AI47" s="840"/>
      <c r="AJ47" s="841">
        <f>IF(AND('Year 1'!$B47=$AD$25),$AF$25,IF(AND('Year 1'!$B47=$AD$26),$AF$26,IF(AND('Year 1'!$B47=$AD$27),$AF$27,IF(AND('Year 1'!$B47=$AD$28),$AF$28,IF(AND('Year 1'!$B47=$AD$29),$AF$29,0)))))</f>
        <v>0</v>
      </c>
      <c r="AK47" s="841">
        <f>IF(AND('Year 1'!$B47=$AD$37),$AF$37,IF(AND('Year 1'!$B47=$AD$38),$AF$38,IF(AND('Year 1'!$B47=$AD$39),$AF$39,IF(AND('Year 1'!$B47=$AD$40),$AF$40,IF(AND('Year 1'!$B47=$AD$41),$AF$41,0)))))</f>
        <v>0</v>
      </c>
      <c r="AL47" s="841">
        <f>IF(AND('Year 1'!$B47=$AD$48),$AF$48,IF(AND('Year 1'!$B47=$AD$49),$AF$49,IF(AND('Year 1'!$B47=$AD$50),$AF$50,IF(AND('Year 1'!$B47=$AD$51),$AF$51,IF(AND('Year 1'!$B47=$AD$52),$AF$52,0)))))</f>
        <v>0</v>
      </c>
      <c r="AM47" s="841">
        <f>IF(AND('Year 1'!$B47=$AD$60),$AF$60,IF(AND('Year 1'!$B47=$AD$61),$AF$61,IF(AND('Year 1'!$B47=$AD$62),$AF$62,IF(AND('Year 1'!$B47=$AD$63),$AF$63,IF(AND('Year 1'!$B47=$AD$64),$AF$64,0)))))</f>
        <v>0</v>
      </c>
      <c r="AN47" s="840"/>
      <c r="AO47" s="840"/>
      <c r="AP47" s="840"/>
      <c r="AQ47" s="831"/>
      <c r="AR47" s="831"/>
      <c r="AS47" s="828"/>
      <c r="AT47" s="828"/>
    </row>
    <row r="48" spans="2:46" ht="13.5" customHeight="1">
      <c r="B48" s="606"/>
      <c r="C48" s="1018">
        <f>IF(Subcontracts!$F$5=0,"",IF(Subcontracts!$F$5&gt;=3,+'Year 2'!C48:D49,""))</f>
        <v>0</v>
      </c>
      <c r="D48" s="1019"/>
      <c r="E48" s="1044">
        <f>IF(Subcontracts!$F$5=0,"",IF(Subcontracts!$F$5&gt;=3,+'Year 2'!E48:E49,""))</f>
        <v>0</v>
      </c>
      <c r="F48" s="1054">
        <f>IF(Subcontracts!$F$5=0,"",IF(Subcontracts!$F$5&gt;=3,+'Year 2'!F48:F49,""))</f>
        <v>0</v>
      </c>
      <c r="G48" s="1054">
        <f>IF(Subcontracts!$F$5=0,"",IF(Subcontracts!$F$5&gt;=3,+'Year 2'!G48:G49,""))</f>
        <v>0</v>
      </c>
      <c r="H48" s="1004">
        <f>IF(Subcontracts!$F$5=0,"",IF(Subcontracts!$F$5&gt;=3,+'Year 2'!H48:H49,""))</f>
        <v>0</v>
      </c>
      <c r="I48" s="97"/>
      <c r="J48" s="87"/>
      <c r="K48" s="87"/>
      <c r="L48" s="88"/>
      <c r="M48" s="95"/>
      <c r="N48" s="95"/>
      <c r="O48" s="95"/>
      <c r="P48" s="592"/>
      <c r="Q48" s="591"/>
      <c r="R48" s="591"/>
      <c r="S48" s="591"/>
      <c r="T48" s="590"/>
      <c r="AA48" s="831"/>
      <c r="AB48" s="832" t="str">
        <f>'Year 2'!AB48</f>
        <v>RF</v>
      </c>
      <c r="AC48" s="832"/>
      <c r="AD48" s="841">
        <f>'Year 2'!AD48</f>
        <v>47.5</v>
      </c>
      <c r="AE48" s="841">
        <f>'Year 2'!AE48</f>
        <v>49</v>
      </c>
      <c r="AF48" s="841">
        <f>'Year 2'!AF48</f>
        <v>49</v>
      </c>
      <c r="AG48" s="841">
        <f>'Year 2'!AG48</f>
        <v>49</v>
      </c>
      <c r="AH48" s="841">
        <f>'Year 2'!AH48</f>
        <v>49</v>
      </c>
      <c r="AI48" s="832"/>
      <c r="AJ48" s="841">
        <f>IF(AND('Year 1'!$B48=$AD$25),$AF$25,IF(AND('Year 1'!$B48=$AD$26),$AF$26,IF(AND('Year 1'!$B48=$AD$27),$AF$27,IF(AND('Year 1'!$B48=$AD$28),$AF$28,IF(AND('Year 1'!$B48=$AD$29),$AF$29,0)))))</f>
        <v>0</v>
      </c>
      <c r="AK48" s="841">
        <f>IF(AND('Year 1'!$B48=$AD$37),$AF$37,IF(AND('Year 1'!$B48=$AD$38),$AF$38,IF(AND('Year 1'!$B48=$AD$39),$AF$39,IF(AND('Year 1'!$B48=$AD$40),$AF$40,IF(AND('Year 1'!$B48=$AD$41),$AF$41,0)))))</f>
        <v>0</v>
      </c>
      <c r="AL48" s="841">
        <f>IF(AND('Year 1'!$B48=$AD$48),$AF$48,IF(AND('Year 1'!$B48=$AD$49),$AF$49,IF(AND('Year 1'!$B48=$AD$50),$AF$50,IF(AND('Year 1'!$B48=$AD$51),$AF$51,IF(AND('Year 1'!$B48=$AD$52),$AF$52,0)))))</f>
        <v>0</v>
      </c>
      <c r="AM48" s="841">
        <f>IF(AND('Year 1'!$B48=$AD$60),$AF$60,IF(AND('Year 1'!$B48=$AD$61),$AF$61,IF(AND('Year 1'!$B48=$AD$62),$AF$62,IF(AND('Year 1'!$B48=$AD$63),$AF$63,IF(AND('Year 1'!$B48=$AD$64),$AF$64,0)))))</f>
        <v>0</v>
      </c>
      <c r="AN48" s="832"/>
      <c r="AO48" s="832"/>
      <c r="AP48" s="840"/>
      <c r="AQ48" s="831"/>
      <c r="AR48" s="831"/>
      <c r="AS48" s="828"/>
      <c r="AT48" s="828"/>
    </row>
    <row r="49" spans="2:46" ht="13.5" customHeight="1" thickBot="1">
      <c r="B49" s="605">
        <f>IF(AND(Subcontracts!$Z$50=1),AJ49,IF(AND(Subcontracts!$Z$50=2),AK49,IF(AND(Subcontracts!$Z$50=3),AL49,IF(AND(Subcontracts!$Z$50=4),AM49,0))))</f>
        <v>0</v>
      </c>
      <c r="C49" s="1020"/>
      <c r="D49" s="1021"/>
      <c r="E49" s="1045"/>
      <c r="F49" s="1005"/>
      <c r="G49" s="1005"/>
      <c r="H49" s="1005"/>
      <c r="I49" s="90">
        <f>IF(Subcontracts!$F$5&gt;=3,+'Year 2'!I49+('Year 2'!I49*('Year 2'!$D$2/100)),)</f>
        <v>0</v>
      </c>
      <c r="J49" s="91">
        <f>IF(Subcontracts!$F$5&gt;=3,(((I49/12)*F48)+((I49/9)*G48)+((I49/3)*H48)),)</f>
        <v>0</v>
      </c>
      <c r="K49" s="92">
        <f>(B49/100)*J49</f>
        <v>0</v>
      </c>
      <c r="L49" s="93">
        <f>J49+K49</f>
        <v>0</v>
      </c>
      <c r="M49" s="95"/>
      <c r="N49" s="95"/>
      <c r="O49" s="95"/>
      <c r="P49" s="596"/>
      <c r="Q49" s="597"/>
      <c r="R49" s="597"/>
      <c r="S49" s="597"/>
      <c r="T49" s="598"/>
      <c r="AA49" s="831"/>
      <c r="AB49" s="832" t="str">
        <f>'Year 2'!AB49</f>
        <v>IFR Summer</v>
      </c>
      <c r="AC49" s="832"/>
      <c r="AD49" s="841">
        <f>'Year 2'!AD49</f>
        <v>15</v>
      </c>
      <c r="AE49" s="841">
        <f>'Year 2'!AE49</f>
        <v>15</v>
      </c>
      <c r="AF49" s="841">
        <f>'Year 2'!AF49</f>
        <v>15</v>
      </c>
      <c r="AG49" s="841">
        <f>'Year 2'!AG49</f>
        <v>15</v>
      </c>
      <c r="AH49" s="841">
        <f>'Year 2'!AH49</f>
        <v>15</v>
      </c>
      <c r="AI49" s="840"/>
      <c r="AJ49" s="841">
        <f>IF(AND('Year 1'!$B49=$AD$25),$AF$25,IF(AND('Year 1'!$B49=$AD$26),$AF$26,IF(AND('Year 1'!$B49=$AD$27),$AF$27,IF(AND('Year 1'!$B49=$AD$28),$AF$28,IF(AND('Year 1'!$B49=$AD$29),$AF$29,0)))))</f>
        <v>0</v>
      </c>
      <c r="AK49" s="841">
        <f>IF(AND('Year 1'!$B49=$AD$37),$AF$37,IF(AND('Year 1'!$B49=$AD$38),$AF$38,IF(AND('Year 1'!$B49=$AD$39),$AF$39,IF(AND('Year 1'!$B49=$AD$40),$AF$40,IF(AND('Year 1'!$B49=$AD$41),$AF$41,0)))))</f>
        <v>0</v>
      </c>
      <c r="AL49" s="841">
        <f>IF(AND('Year 1'!$B49=$AD$48),$AF$48,IF(AND('Year 1'!$B49=$AD$49),$AF$49,IF(AND('Year 1'!$B49=$AD$50),$AF$50,IF(AND('Year 1'!$B49=$AD$51),$AF$51,IF(AND('Year 1'!$B49=$AD$52),$AF$52,0)))))</f>
        <v>0</v>
      </c>
      <c r="AM49" s="841">
        <f>IF(AND('Year 1'!$B49=$AD$60),$AF$60,IF(AND('Year 1'!$B49=$AD$61),$AF$61,IF(AND('Year 1'!$B49=$AD$62),$AF$62,IF(AND('Year 1'!$B49=$AD$63),$AF$63,IF(AND('Year 1'!$B49=$AD$64),$AF$64,0)))))</f>
        <v>0</v>
      </c>
      <c r="AN49" s="840"/>
      <c r="AO49" s="840"/>
      <c r="AP49" s="840"/>
      <c r="AQ49" s="831"/>
      <c r="AR49" s="831"/>
      <c r="AS49" s="828"/>
      <c r="AT49" s="828"/>
    </row>
    <row r="50" spans="2:46" ht="21" customHeight="1" thickBot="1">
      <c r="B50" s="289"/>
      <c r="C50" s="75"/>
      <c r="D50" s="75"/>
      <c r="E50" s="627" t="s">
        <v>70</v>
      </c>
      <c r="F50" s="49"/>
      <c r="G50" s="104"/>
      <c r="H50" s="104"/>
      <c r="I50" s="75"/>
      <c r="J50" s="105">
        <f>SUM(J21:J49)</f>
        <v>0</v>
      </c>
      <c r="K50" s="105">
        <f>SUM(K21:K49)</f>
        <v>0</v>
      </c>
      <c r="L50" s="106">
        <f>SUM(L21:L49)</f>
        <v>0</v>
      </c>
      <c r="AA50" s="831"/>
      <c r="AB50" s="832" t="str">
        <f>'Year 2'!AB50</f>
        <v>Graduate</v>
      </c>
      <c r="AC50" s="832"/>
      <c r="AD50" s="841">
        <f>'Year 2'!AD50</f>
        <v>16</v>
      </c>
      <c r="AE50" s="841">
        <f>'Year 2'!AE50</f>
        <v>17</v>
      </c>
      <c r="AF50" s="841">
        <f>'Year 2'!AF50</f>
        <v>17</v>
      </c>
      <c r="AG50" s="841">
        <f>'Year 2'!AG50</f>
        <v>17</v>
      </c>
      <c r="AH50" s="841">
        <f>'Year 2'!AH50</f>
        <v>17</v>
      </c>
      <c r="AI50" s="832"/>
      <c r="AJ50" s="832"/>
      <c r="AK50" s="832"/>
      <c r="AL50" s="832"/>
      <c r="AM50" s="832"/>
      <c r="AN50" s="832"/>
      <c r="AO50" s="832"/>
      <c r="AP50" s="831"/>
      <c r="AQ50" s="831"/>
      <c r="AR50" s="831"/>
      <c r="AS50" s="828"/>
      <c r="AT50" s="828"/>
    </row>
    <row r="51" spans="2:46" ht="12" customHeight="1">
      <c r="B51" s="286" t="s">
        <v>80</v>
      </c>
      <c r="C51" s="107" t="s">
        <v>71</v>
      </c>
      <c r="D51" s="55"/>
      <c r="E51" s="108"/>
      <c r="F51" s="109"/>
      <c r="G51" s="109"/>
      <c r="H51" s="109"/>
      <c r="I51" s="109"/>
      <c r="J51" s="75"/>
      <c r="K51" s="75"/>
      <c r="L51" s="110"/>
      <c r="AA51" s="831"/>
      <c r="AB51" s="832" t="str">
        <f>'Year 2'!AB51</f>
        <v>Undergrad</v>
      </c>
      <c r="AC51" s="832"/>
      <c r="AD51" s="841">
        <f>'Year 2'!AD51</f>
        <v>5</v>
      </c>
      <c r="AE51" s="841">
        <f>'Year 2'!AE51</f>
        <v>5</v>
      </c>
      <c r="AF51" s="841">
        <f>'Year 2'!AF51</f>
        <v>5</v>
      </c>
      <c r="AG51" s="841">
        <f>'Year 2'!AG51</f>
        <v>5</v>
      </c>
      <c r="AH51" s="841">
        <f>'Year 2'!AH51</f>
        <v>5</v>
      </c>
      <c r="AI51" s="832"/>
      <c r="AJ51" s="832"/>
      <c r="AK51" s="832"/>
      <c r="AL51" s="832"/>
      <c r="AM51" s="832"/>
      <c r="AN51" s="832"/>
      <c r="AO51" s="832"/>
      <c r="AP51" s="831"/>
      <c r="AQ51" s="831"/>
      <c r="AR51" s="831"/>
      <c r="AS51" s="828"/>
      <c r="AT51" s="828"/>
    </row>
    <row r="52" spans="2:46" ht="12.75" customHeight="1">
      <c r="B52" s="293">
        <f>Subcontracts!$C$10</f>
        <v>0</v>
      </c>
      <c r="C52" s="1006">
        <f>IF(Subcontracts!$F$5&gt;=3,+'Year 2'!C52,)</f>
        <v>0</v>
      </c>
      <c r="D52" s="1010"/>
      <c r="E52" s="111">
        <f>IF(Subcontracts!$F$5&gt;=3,+'Year 2'!E52+('Year 2'!E52*$B$52/100),)</f>
        <v>0</v>
      </c>
      <c r="F52" s="1015">
        <f>IF(Subcontracts!$F$5&gt;=3,+'Year 2'!F52)</f>
        <v>0</v>
      </c>
      <c r="G52" s="1010"/>
      <c r="H52" s="1010"/>
      <c r="I52" s="1010"/>
      <c r="J52" s="1010"/>
      <c r="K52" s="51">
        <f>IF(Subcontracts!$F$5&gt;=3,+'Year 2'!K52+('Year 2'!K52*$B$52/100),)</f>
        <v>0</v>
      </c>
      <c r="L52" s="112"/>
      <c r="AA52" s="831"/>
      <c r="AB52" s="832" t="str">
        <f>'Year 2'!AB52</f>
        <v>IFR</v>
      </c>
      <c r="AC52" s="832"/>
      <c r="AD52" s="841">
        <f>'Year 2'!AD52</f>
        <v>59.38</v>
      </c>
      <c r="AE52" s="841">
        <f>'Year 2'!AE52</f>
        <v>61.645</v>
      </c>
      <c r="AF52" s="841">
        <f>'Year 2'!AF52</f>
        <v>64.05</v>
      </c>
      <c r="AG52" s="841">
        <f>'Year 2'!AG52</f>
        <v>64.05</v>
      </c>
      <c r="AH52" s="841">
        <f>'Year 2'!AH52</f>
        <v>64.05</v>
      </c>
      <c r="AI52" s="832"/>
      <c r="AJ52" s="832"/>
      <c r="AK52" s="832"/>
      <c r="AL52" s="832"/>
      <c r="AM52" s="832"/>
      <c r="AN52" s="832"/>
      <c r="AO52" s="832"/>
      <c r="AP52" s="831"/>
      <c r="AQ52" s="831"/>
      <c r="AR52" s="831"/>
      <c r="AS52" s="828"/>
      <c r="AT52" s="828"/>
    </row>
    <row r="53" spans="2:46" ht="12.75" customHeight="1">
      <c r="B53" s="290"/>
      <c r="C53" s="1008">
        <f>IF(Subcontracts!$F$5&gt;=3,+'Year 2'!C53,)</f>
        <v>0</v>
      </c>
      <c r="D53" s="1009"/>
      <c r="E53" s="113">
        <f>IF(Subcontracts!$F$5&gt;=3,+'Year 2'!E53+('Year 2'!E53*$B$52/100),)</f>
        <v>0</v>
      </c>
      <c r="F53" s="1016">
        <f>IF(Subcontracts!$F$5&gt;=3,+'Year 2'!F53)</f>
        <v>0</v>
      </c>
      <c r="G53" s="1009">
        <f>IF(Subcontracts!$F$5&gt;=3,+'Year 2'!G53+('Year 2'!G53*$B$52/100),)</f>
        <v>0</v>
      </c>
      <c r="H53" s="1009"/>
      <c r="I53" s="1009"/>
      <c r="J53" s="1009"/>
      <c r="K53" s="114">
        <f>IF(Subcontracts!$F$5&gt;=3,+'Year 2'!K53+('Year 2'!K53*$B$52/100),)</f>
        <v>0</v>
      </c>
      <c r="L53" s="115">
        <f>E52+E53+K52+K53</f>
        <v>0</v>
      </c>
      <c r="AA53" s="831"/>
      <c r="AB53" s="832" t="str">
        <f>'Year 2'!AB53</f>
        <v>F&amp;A</v>
      </c>
      <c r="AC53" s="832"/>
      <c r="AD53" s="841">
        <f>'Year 2'!AD53</f>
        <v>59.5</v>
      </c>
      <c r="AE53" s="841">
        <f>'Year 2'!AE53</f>
        <v>59.5</v>
      </c>
      <c r="AF53" s="841">
        <f>'Year 2'!AF53</f>
        <v>59.5</v>
      </c>
      <c r="AG53" s="841">
        <f>'Year 2'!AG53</f>
        <v>59.5</v>
      </c>
      <c r="AH53" s="841">
        <f>'Year 2'!AH53</f>
        <v>59.5</v>
      </c>
      <c r="AI53" s="832"/>
      <c r="AJ53" s="832"/>
      <c r="AK53" s="832"/>
      <c r="AL53" s="832"/>
      <c r="AM53" s="832"/>
      <c r="AN53" s="832"/>
      <c r="AO53" s="832"/>
      <c r="AP53" s="831"/>
      <c r="AQ53" s="831"/>
      <c r="AR53" s="831"/>
      <c r="AS53" s="828"/>
      <c r="AT53" s="828"/>
    </row>
    <row r="54" spans="2:46" ht="12" customHeight="1">
      <c r="B54" s="290"/>
      <c r="C54" s="116" t="s">
        <v>152</v>
      </c>
      <c r="D54" s="117"/>
      <c r="E54" s="118"/>
      <c r="F54" s="119"/>
      <c r="G54" s="119"/>
      <c r="H54" s="119"/>
      <c r="I54" s="119"/>
      <c r="J54" s="119"/>
      <c r="K54" s="119"/>
      <c r="L54" s="11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831"/>
      <c r="AB54" s="832">
        <f>'Year 2'!AB54</f>
        <v>0</v>
      </c>
      <c r="AC54" s="832"/>
      <c r="AD54" s="841">
        <f>'Year 2'!AD54</f>
        <v>0</v>
      </c>
      <c r="AE54" s="841">
        <f>'Year 2'!AE54</f>
        <v>0</v>
      </c>
      <c r="AF54" s="841">
        <f>'Year 2'!AF54</f>
        <v>0</v>
      </c>
      <c r="AG54" s="841">
        <f>'Year 2'!AG54</f>
        <v>0</v>
      </c>
      <c r="AH54" s="841">
        <f>'Year 2'!AH54</f>
        <v>0</v>
      </c>
      <c r="AI54" s="832"/>
      <c r="AJ54" s="832"/>
      <c r="AK54" s="832"/>
      <c r="AL54" s="832"/>
      <c r="AM54" s="832"/>
      <c r="AN54" s="832"/>
      <c r="AO54" s="832"/>
      <c r="AP54" s="831"/>
      <c r="AQ54" s="831"/>
      <c r="AR54" s="831"/>
      <c r="AS54" s="828"/>
      <c r="AT54" s="828"/>
    </row>
    <row r="55" spans="2:46" ht="15" customHeight="1">
      <c r="B55" s="290"/>
      <c r="C55" s="1015"/>
      <c r="D55" s="1010"/>
      <c r="E55" s="111"/>
      <c r="F55" s="1017"/>
      <c r="G55" s="1007"/>
      <c r="H55" s="1007"/>
      <c r="I55" s="1007"/>
      <c r="J55" s="1007"/>
      <c r="K55" s="111"/>
      <c r="L55" s="121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831"/>
      <c r="AB55" s="832">
        <f>'Year 2'!AB55</f>
        <v>0</v>
      </c>
      <c r="AC55" s="832"/>
      <c r="AD55" s="841">
        <f>'Year 2'!AD55</f>
        <v>0</v>
      </c>
      <c r="AE55" s="841">
        <f>'Year 2'!AE55</f>
        <v>0</v>
      </c>
      <c r="AF55" s="841">
        <f>'Year 2'!AF55</f>
        <v>0</v>
      </c>
      <c r="AG55" s="841">
        <f>'Year 2'!AG55</f>
        <v>0</v>
      </c>
      <c r="AH55" s="841">
        <f>'Year 2'!AH55</f>
        <v>0</v>
      </c>
      <c r="AI55" s="832"/>
      <c r="AJ55" s="832"/>
      <c r="AK55" s="832"/>
      <c r="AL55" s="832"/>
      <c r="AM55" s="832"/>
      <c r="AN55" s="832"/>
      <c r="AO55" s="832"/>
      <c r="AP55" s="831"/>
      <c r="AQ55" s="831"/>
      <c r="AR55" s="831"/>
      <c r="AS55" s="828"/>
      <c r="AT55" s="828"/>
    </row>
    <row r="56" spans="2:46" ht="13.5" customHeight="1">
      <c r="B56" s="290"/>
      <c r="C56" s="1015"/>
      <c r="D56" s="1010"/>
      <c r="E56" s="111"/>
      <c r="F56" s="1017"/>
      <c r="G56" s="1007"/>
      <c r="H56" s="1007"/>
      <c r="I56" s="1007"/>
      <c r="J56" s="1007"/>
      <c r="K56" s="111"/>
      <c r="L56" s="112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831"/>
      <c r="AB56" s="832">
        <f>'Year 2'!AB56</f>
        <v>0</v>
      </c>
      <c r="AC56" s="832"/>
      <c r="AD56" s="841">
        <f>'Year 2'!AD56</f>
        <v>0</v>
      </c>
      <c r="AE56" s="841">
        <f>'Year 2'!AE56</f>
        <v>0</v>
      </c>
      <c r="AF56" s="841">
        <f>'Year 2'!AF56</f>
        <v>0</v>
      </c>
      <c r="AG56" s="841">
        <f>'Year 2'!AG56</f>
        <v>0</v>
      </c>
      <c r="AH56" s="841">
        <f>'Year 2'!AH56</f>
        <v>0</v>
      </c>
      <c r="AI56" s="832"/>
      <c r="AJ56" s="832"/>
      <c r="AK56" s="832"/>
      <c r="AL56" s="832"/>
      <c r="AM56" s="832"/>
      <c r="AN56" s="832"/>
      <c r="AO56" s="832"/>
      <c r="AP56" s="831"/>
      <c r="AQ56" s="831"/>
      <c r="AR56" s="831"/>
      <c r="AS56" s="828"/>
      <c r="AT56" s="828"/>
    </row>
    <row r="57" spans="2:44" ht="15" customHeight="1">
      <c r="B57" s="290"/>
      <c r="C57" s="1013"/>
      <c r="D57" s="1014"/>
      <c r="E57" s="113"/>
      <c r="F57" s="1013"/>
      <c r="G57" s="1014"/>
      <c r="H57" s="1014"/>
      <c r="I57" s="1014"/>
      <c r="J57" s="1014"/>
      <c r="K57" s="113"/>
      <c r="L57" s="115">
        <f>E55+E56+E57+K55+K56+K57</f>
        <v>0</v>
      </c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831"/>
      <c r="AB57" s="832" t="str">
        <f>'Year 2'!AB57</f>
        <v>number 4</v>
      </c>
      <c r="AC57" s="832"/>
      <c r="AD57" s="841">
        <f>'Year 2'!AD57</f>
        <v>0</v>
      </c>
      <c r="AE57" s="841">
        <f>'Year 2'!AE57</f>
        <v>0</v>
      </c>
      <c r="AF57" s="841">
        <f>'Year 2'!AF57</f>
        <v>0</v>
      </c>
      <c r="AG57" s="841">
        <f>'Year 2'!AG57</f>
        <v>0</v>
      </c>
      <c r="AH57" s="841">
        <f>'Year 2'!AH57</f>
        <v>0</v>
      </c>
      <c r="AI57" s="832"/>
      <c r="AJ57" s="832"/>
      <c r="AK57" s="832"/>
      <c r="AL57" s="832"/>
      <c r="AM57" s="832"/>
      <c r="AN57" s="832"/>
      <c r="AO57" s="832"/>
      <c r="AP57" s="831"/>
      <c r="AQ57" s="831"/>
      <c r="AR57" s="831"/>
    </row>
    <row r="58" spans="2:44" ht="12" customHeight="1">
      <c r="B58" s="287" t="s">
        <v>80</v>
      </c>
      <c r="C58" s="116" t="s">
        <v>149</v>
      </c>
      <c r="D58" s="65"/>
      <c r="E58" s="43"/>
      <c r="F58" s="118"/>
      <c r="G58" s="43"/>
      <c r="H58" s="43"/>
      <c r="I58" s="43"/>
      <c r="J58" s="43"/>
      <c r="K58" s="43"/>
      <c r="L58" s="110"/>
      <c r="AA58" s="831"/>
      <c r="AB58" s="832" t="str">
        <f>'Year 2'!AB58</f>
        <v>year 1 start between 1/1/19 - 12/31/19</v>
      </c>
      <c r="AC58" s="832"/>
      <c r="AD58" s="841">
        <f>'Year 2'!AD58</f>
        <v>0</v>
      </c>
      <c r="AE58" s="841">
        <f>'Year 2'!AE58</f>
        <v>0</v>
      </c>
      <c r="AF58" s="841">
        <f>'Year 2'!AF58</f>
        <v>0</v>
      </c>
      <c r="AG58" s="841">
        <f>'Year 2'!AG58</f>
        <v>0</v>
      </c>
      <c r="AH58" s="841">
        <f>'Year 2'!AH58</f>
        <v>0</v>
      </c>
      <c r="AI58" s="832"/>
      <c r="AJ58" s="832"/>
      <c r="AK58" s="832"/>
      <c r="AL58" s="832"/>
      <c r="AM58" s="832"/>
      <c r="AN58" s="832"/>
      <c r="AO58" s="832"/>
      <c r="AP58" s="831"/>
      <c r="AQ58" s="831"/>
      <c r="AR58" s="831"/>
    </row>
    <row r="59" spans="2:44" ht="15" customHeight="1">
      <c r="B59" s="293">
        <f>Subcontracts!$C$10</f>
        <v>0</v>
      </c>
      <c r="C59" s="1006">
        <f>IF(Subcontracts!$F$5&gt;=3,+'Year 2'!C59,)</f>
        <v>0</v>
      </c>
      <c r="D59" s="1010"/>
      <c r="E59" s="111">
        <f>IF(Subcontracts!$F$5&gt;=3,+'Year 2'!E59+('Year 2'!E59*$B$59/100),)</f>
        <v>0</v>
      </c>
      <c r="F59" s="1006">
        <f>IF(Subcontracts!$F$5&gt;=3,+'Year 2'!F59,)</f>
        <v>0</v>
      </c>
      <c r="G59" s="1007"/>
      <c r="H59" s="1007"/>
      <c r="I59" s="1007"/>
      <c r="J59" s="1007"/>
      <c r="K59" s="111">
        <f>IF(Subcontracts!$F$5&gt;=3,+'Year 2'!K59+('Year 2'!K59*$B$59/100),)</f>
        <v>0</v>
      </c>
      <c r="L59" s="112"/>
      <c r="M59" s="49"/>
      <c r="N59" s="49"/>
      <c r="O59" s="49"/>
      <c r="P59" s="49"/>
      <c r="Q59" s="49"/>
      <c r="AA59" s="831"/>
      <c r="AB59" s="832">
        <f>'Year 2'!AB59</f>
        <v>0</v>
      </c>
      <c r="AC59" s="832"/>
      <c r="AD59" s="841" t="str">
        <f>'Year 2'!AD59</f>
        <v>year 1</v>
      </c>
      <c r="AE59" s="841" t="str">
        <f>'Year 2'!AE59</f>
        <v>year 2</v>
      </c>
      <c r="AF59" s="841" t="str">
        <f>'Year 2'!AF59</f>
        <v>year 3</v>
      </c>
      <c r="AG59" s="841" t="str">
        <f>'Year 2'!AG59</f>
        <v>year 4</v>
      </c>
      <c r="AH59" s="841" t="str">
        <f>'Year 2'!AH59</f>
        <v>year 5</v>
      </c>
      <c r="AI59" s="832"/>
      <c r="AJ59" s="832"/>
      <c r="AK59" s="832"/>
      <c r="AL59" s="832"/>
      <c r="AM59" s="832"/>
      <c r="AN59" s="832"/>
      <c r="AO59" s="832"/>
      <c r="AP59" s="831"/>
      <c r="AQ59" s="831"/>
      <c r="AR59" s="831"/>
    </row>
    <row r="60" spans="2:44" ht="15" customHeight="1">
      <c r="B60" s="290"/>
      <c r="C60" s="1006">
        <f>IF(Subcontracts!$F$5&gt;=3,+'Year 2'!C60,)</f>
        <v>0</v>
      </c>
      <c r="D60" s="1010"/>
      <c r="E60" s="111">
        <f>IF(Subcontracts!$F$5&gt;=3,+'Year 2'!E60+('Year 2'!E60*$B$59/100),)</f>
        <v>0</v>
      </c>
      <c r="F60" s="1006">
        <f>IF(Subcontracts!$F$5&gt;=3,+'Year 2'!F60,)</f>
        <v>0</v>
      </c>
      <c r="G60" s="1007"/>
      <c r="H60" s="1007"/>
      <c r="I60" s="1007"/>
      <c r="J60" s="1007"/>
      <c r="K60" s="111">
        <f>IF(Subcontracts!$F$5&gt;=3,+'Year 2'!K60+('Year 2'!K60*$B$59/100),)</f>
        <v>0</v>
      </c>
      <c r="L60" s="112"/>
      <c r="AA60" s="831"/>
      <c r="AB60" s="832" t="str">
        <f>'Year 2'!AB60</f>
        <v>RF</v>
      </c>
      <c r="AC60" s="832"/>
      <c r="AD60" s="841">
        <f>'Year 2'!AD60</f>
        <v>49</v>
      </c>
      <c r="AE60" s="841">
        <f>'Year 2'!AE60</f>
        <v>49</v>
      </c>
      <c r="AF60" s="841">
        <f>'Year 2'!AF60</f>
        <v>49</v>
      </c>
      <c r="AG60" s="841">
        <f>'Year 2'!AG60</f>
        <v>49</v>
      </c>
      <c r="AH60" s="841">
        <f>'Year 2'!AH60</f>
        <v>49</v>
      </c>
      <c r="AI60" s="832"/>
      <c r="AJ60" s="832"/>
      <c r="AK60" s="832"/>
      <c r="AL60" s="832"/>
      <c r="AM60" s="832"/>
      <c r="AN60" s="832"/>
      <c r="AO60" s="832"/>
      <c r="AP60" s="831"/>
      <c r="AQ60" s="831"/>
      <c r="AR60" s="831"/>
    </row>
    <row r="61" spans="2:44" ht="15.75" customHeight="1">
      <c r="B61" s="290"/>
      <c r="C61" s="1006">
        <f>IF(Subcontracts!$F$5&gt;=3,+'Year 2'!C61,)</f>
        <v>0</v>
      </c>
      <c r="D61" s="1010"/>
      <c r="E61" s="111">
        <f>IF(Subcontracts!$F$5&gt;=3,+'Year 2'!E61+('Year 2'!E61*$B$59/100),)</f>
        <v>0</v>
      </c>
      <c r="F61" s="1006">
        <f>IF(Subcontracts!$F$5&gt;=3,+'Year 2'!F61,)</f>
        <v>0</v>
      </c>
      <c r="G61" s="1007"/>
      <c r="H61" s="1007"/>
      <c r="I61" s="1007"/>
      <c r="J61" s="1007"/>
      <c r="K61" s="111">
        <f>IF(Subcontracts!$F$5&gt;=3,+'Year 2'!K61+('Year 2'!K61*$B$59/100),)</f>
        <v>0</v>
      </c>
      <c r="L61" s="121"/>
      <c r="AA61" s="831"/>
      <c r="AB61" s="832" t="str">
        <f>'Year 2'!AB61</f>
        <v>IFR Summer</v>
      </c>
      <c r="AC61" s="832"/>
      <c r="AD61" s="841">
        <f>'Year 2'!AD61</f>
        <v>15</v>
      </c>
      <c r="AE61" s="841">
        <f>'Year 2'!AE61</f>
        <v>15</v>
      </c>
      <c r="AF61" s="841">
        <f>'Year 2'!AF61</f>
        <v>15</v>
      </c>
      <c r="AG61" s="841">
        <f>'Year 2'!AG61</f>
        <v>15</v>
      </c>
      <c r="AH61" s="841">
        <f>'Year 2'!AH61</f>
        <v>15</v>
      </c>
      <c r="AI61" s="832"/>
      <c r="AJ61" s="832"/>
      <c r="AK61" s="832"/>
      <c r="AL61" s="832"/>
      <c r="AM61" s="832"/>
      <c r="AN61" s="832"/>
      <c r="AO61" s="832"/>
      <c r="AP61" s="831"/>
      <c r="AQ61" s="831"/>
      <c r="AR61" s="831"/>
    </row>
    <row r="62" spans="2:44" ht="15" customHeight="1">
      <c r="B62" s="290"/>
      <c r="C62" s="1006">
        <f>IF(Subcontracts!$F$5&gt;=3,+'Year 2'!C62,)</f>
        <v>0</v>
      </c>
      <c r="D62" s="1010"/>
      <c r="E62" s="111">
        <f>IF(Subcontracts!$F$5&gt;=3,+'Year 2'!E62+('Year 2'!E62*$B$59/100),)</f>
        <v>0</v>
      </c>
      <c r="F62" s="1006">
        <f>IF(Subcontracts!$F$5&gt;=3,+'Year 2'!F62,)</f>
        <v>0</v>
      </c>
      <c r="G62" s="1007"/>
      <c r="H62" s="1007"/>
      <c r="I62" s="1007"/>
      <c r="J62" s="1007"/>
      <c r="K62" s="111">
        <f>IF(Subcontracts!$F$5&gt;=3,+'Year 2'!K62+('Year 2'!K62*$B$59/100),)</f>
        <v>0</v>
      </c>
      <c r="L62" s="112"/>
      <c r="AA62" s="831"/>
      <c r="AB62" s="832" t="str">
        <f>'Year 2'!AB62</f>
        <v>Graduate</v>
      </c>
      <c r="AC62" s="832"/>
      <c r="AD62" s="841">
        <f>'Year 2'!AD62</f>
        <v>17</v>
      </c>
      <c r="AE62" s="841">
        <f>'Year 2'!AE62</f>
        <v>17</v>
      </c>
      <c r="AF62" s="841">
        <f>'Year 2'!AF62</f>
        <v>17</v>
      </c>
      <c r="AG62" s="841">
        <f>'Year 2'!AG62</f>
        <v>17</v>
      </c>
      <c r="AH62" s="841">
        <f>'Year 2'!AH62</f>
        <v>17</v>
      </c>
      <c r="AI62" s="832"/>
      <c r="AJ62" s="832"/>
      <c r="AK62" s="832"/>
      <c r="AL62" s="832"/>
      <c r="AM62" s="832"/>
      <c r="AN62" s="832"/>
      <c r="AO62" s="832"/>
      <c r="AP62" s="831"/>
      <c r="AQ62" s="831"/>
      <c r="AR62" s="831"/>
    </row>
    <row r="63" spans="2:44" ht="15" customHeight="1">
      <c r="B63" s="290"/>
      <c r="C63" s="1006">
        <f>IF(Subcontracts!$F$5&gt;=3,+'Year 2'!C63,)</f>
        <v>0</v>
      </c>
      <c r="D63" s="1010"/>
      <c r="E63" s="111">
        <f>IF(Subcontracts!$F$5&gt;=3,+'Year 2'!E63+('Year 2'!E63*$B$59/100),)</f>
        <v>0</v>
      </c>
      <c r="F63" s="1006">
        <f>IF(Subcontracts!$F$5&gt;=3,+'Year 2'!F63,)</f>
        <v>0</v>
      </c>
      <c r="G63" s="1007"/>
      <c r="H63" s="1007"/>
      <c r="I63" s="1007"/>
      <c r="J63" s="1007"/>
      <c r="K63" s="111">
        <f>IF(Subcontracts!$F$5&gt;=3,+'Year 2'!K63+('Year 2'!K63*$B$59/100),)</f>
        <v>0</v>
      </c>
      <c r="L63" s="112"/>
      <c r="AA63" s="831"/>
      <c r="AB63" s="832" t="str">
        <f>'Year 2'!AB63</f>
        <v>Undergrad</v>
      </c>
      <c r="AC63" s="832"/>
      <c r="AD63" s="841">
        <f>'Year 2'!AD63</f>
        <v>5</v>
      </c>
      <c r="AE63" s="841">
        <f>'Year 2'!AE63</f>
        <v>5</v>
      </c>
      <c r="AF63" s="841">
        <f>'Year 2'!AF63</f>
        <v>5</v>
      </c>
      <c r="AG63" s="841">
        <f>'Year 2'!AG63</f>
        <v>5</v>
      </c>
      <c r="AH63" s="841">
        <f>'Year 2'!AH63</f>
        <v>5</v>
      </c>
      <c r="AI63" s="832"/>
      <c r="AJ63" s="832"/>
      <c r="AK63" s="832"/>
      <c r="AL63" s="832"/>
      <c r="AM63" s="832"/>
      <c r="AN63" s="832"/>
      <c r="AO63" s="832"/>
      <c r="AP63" s="831"/>
      <c r="AQ63" s="831"/>
      <c r="AR63" s="831"/>
    </row>
    <row r="64" spans="2:44" ht="15" customHeight="1">
      <c r="B64" s="290"/>
      <c r="C64" s="1008">
        <f>IF(Subcontracts!$F$5&gt;=3,+'Year 2'!C64,)</f>
        <v>0</v>
      </c>
      <c r="D64" s="1009"/>
      <c r="E64" s="113">
        <f>IF(Subcontracts!$F$5&gt;=3,+'Year 2'!E64+('Year 2'!E64*$B$59/100),)</f>
        <v>0</v>
      </c>
      <c r="F64" s="1008">
        <f>IF(Subcontracts!$F$5&gt;=3,+'Year 2'!F64,)</f>
        <v>0</v>
      </c>
      <c r="G64" s="1009"/>
      <c r="H64" s="1009"/>
      <c r="I64" s="1009"/>
      <c r="J64" s="1009"/>
      <c r="K64" s="113">
        <f>IF(Subcontracts!$F$5&gt;=3,+'Year 2'!K64+('Year 2'!K64*$B$59/100),)</f>
        <v>0</v>
      </c>
      <c r="L64" s="115">
        <f>SUM(E59:E64)+SUM(K59:K64)</f>
        <v>0</v>
      </c>
      <c r="AA64" s="831"/>
      <c r="AB64" s="832" t="str">
        <f>'Year 2'!AB64</f>
        <v>IFR</v>
      </c>
      <c r="AC64" s="832"/>
      <c r="AD64" s="841">
        <f>'Year 2'!AD64</f>
        <v>61.645</v>
      </c>
      <c r="AE64" s="841">
        <f>'Year 2'!AE64</f>
        <v>64.05</v>
      </c>
      <c r="AF64" s="841">
        <f>'Year 2'!AF64</f>
        <v>64.05</v>
      </c>
      <c r="AG64" s="841">
        <f>'Year 2'!AG64</f>
        <v>64.05</v>
      </c>
      <c r="AH64" s="841">
        <f>'Year 2'!AH64</f>
        <v>64.05</v>
      </c>
      <c r="AI64" s="832"/>
      <c r="AJ64" s="832"/>
      <c r="AK64" s="832"/>
      <c r="AL64" s="832"/>
      <c r="AM64" s="832"/>
      <c r="AN64" s="832"/>
      <c r="AO64" s="832"/>
      <c r="AP64" s="831"/>
      <c r="AQ64" s="831"/>
      <c r="AR64" s="831"/>
    </row>
    <row r="65" spans="2:44" ht="12" customHeight="1">
      <c r="B65" s="287" t="s">
        <v>80</v>
      </c>
      <c r="C65" s="116" t="s">
        <v>72</v>
      </c>
      <c r="D65" s="65"/>
      <c r="E65" s="43"/>
      <c r="F65" s="118"/>
      <c r="G65" s="43"/>
      <c r="H65" s="43"/>
      <c r="I65" s="43"/>
      <c r="J65" s="43"/>
      <c r="K65" s="43"/>
      <c r="L65" s="110"/>
      <c r="AA65" s="831"/>
      <c r="AB65" s="832" t="str">
        <f>'Year 2'!AB65</f>
        <v>F&amp;A</v>
      </c>
      <c r="AC65" s="832"/>
      <c r="AD65" s="841">
        <f>'Year 2'!AD65</f>
        <v>59.5</v>
      </c>
      <c r="AE65" s="841">
        <f>'Year 2'!AE65</f>
        <v>59.5</v>
      </c>
      <c r="AF65" s="841">
        <f>'Year 2'!AF65</f>
        <v>59.5</v>
      </c>
      <c r="AG65" s="841">
        <f>'Year 2'!AG65</f>
        <v>59.5</v>
      </c>
      <c r="AH65" s="841">
        <f>'Year 2'!AH65</f>
        <v>59.5</v>
      </c>
      <c r="AI65" s="832"/>
      <c r="AJ65" s="832"/>
      <c r="AK65" s="832"/>
      <c r="AL65" s="832"/>
      <c r="AM65" s="832"/>
      <c r="AN65" s="832"/>
      <c r="AO65" s="832"/>
      <c r="AP65" s="831"/>
      <c r="AQ65" s="831"/>
      <c r="AR65" s="831"/>
    </row>
    <row r="66" spans="2:44" ht="13.5" customHeight="1">
      <c r="B66" s="293">
        <f>Subcontracts!$C$10</f>
        <v>0</v>
      </c>
      <c r="C66" s="1061">
        <f>IF(Subcontracts!$F$5&gt;=3,+'Year 2'!C66,)</f>
        <v>0</v>
      </c>
      <c r="D66" s="1058"/>
      <c r="E66" s="885">
        <f>IF(Subcontracts!$F$5&gt;=3,+'Year 2'!E66+('Year 2'!E66*$B$66/100),)</f>
        <v>0</v>
      </c>
      <c r="F66" s="122"/>
      <c r="G66" s="122"/>
      <c r="H66" s="122"/>
      <c r="I66" s="122"/>
      <c r="J66" s="123"/>
      <c r="K66" s="123"/>
      <c r="L66" s="115">
        <f>+E66</f>
        <v>0</v>
      </c>
      <c r="AA66" s="831"/>
      <c r="AB66" s="831"/>
      <c r="AC66" s="831"/>
      <c r="AD66" s="831"/>
      <c r="AE66" s="831"/>
      <c r="AF66" s="831"/>
      <c r="AG66" s="831"/>
      <c r="AH66" s="831"/>
      <c r="AI66" s="831"/>
      <c r="AJ66" s="831"/>
      <c r="AK66" s="831"/>
      <c r="AL66" s="831"/>
      <c r="AM66" s="831"/>
      <c r="AN66" s="831"/>
      <c r="AO66" s="831"/>
      <c r="AP66" s="831"/>
      <c r="AQ66" s="831"/>
      <c r="AR66" s="831"/>
    </row>
    <row r="67" spans="2:44" ht="15.75" customHeight="1">
      <c r="B67" s="124"/>
      <c r="C67" s="884" t="s">
        <v>404</v>
      </c>
      <c r="D67" s="883"/>
      <c r="E67" s="886"/>
      <c r="F67" s="113"/>
      <c r="G67" s="125"/>
      <c r="H67" s="125"/>
      <c r="I67" s="125"/>
      <c r="J67" s="126"/>
      <c r="K67" s="126"/>
      <c r="L67" s="127"/>
      <c r="AA67" s="831"/>
      <c r="AB67" s="831"/>
      <c r="AC67" s="831"/>
      <c r="AD67" s="831"/>
      <c r="AE67" s="831"/>
      <c r="AF67" s="831"/>
      <c r="AG67" s="831"/>
      <c r="AH67" s="831"/>
      <c r="AI67" s="831"/>
      <c r="AJ67" s="831"/>
      <c r="AK67" s="831"/>
      <c r="AL67" s="831"/>
      <c r="AM67" s="831"/>
      <c r="AN67" s="831"/>
      <c r="AO67" s="831"/>
      <c r="AP67" s="831"/>
      <c r="AQ67" s="831"/>
      <c r="AR67" s="831"/>
    </row>
    <row r="68" spans="2:44" ht="15.75" customHeight="1">
      <c r="B68" s="178"/>
      <c r="C68" s="54" t="s">
        <v>405</v>
      </c>
      <c r="D68" s="128"/>
      <c r="E68" s="887"/>
      <c r="F68" s="129"/>
      <c r="G68" s="125"/>
      <c r="H68" s="125"/>
      <c r="I68" s="125"/>
      <c r="J68" s="126"/>
      <c r="K68" s="126"/>
      <c r="L68" s="127"/>
      <c r="AA68" s="831"/>
      <c r="AB68" s="831"/>
      <c r="AC68" s="831"/>
      <c r="AD68" s="831"/>
      <c r="AE68" s="831"/>
      <c r="AF68" s="831"/>
      <c r="AG68" s="831"/>
      <c r="AH68" s="831"/>
      <c r="AI68" s="831"/>
      <c r="AJ68" s="831"/>
      <c r="AK68" s="831"/>
      <c r="AL68" s="831"/>
      <c r="AM68" s="831"/>
      <c r="AN68" s="831"/>
      <c r="AO68" s="831"/>
      <c r="AP68" s="831"/>
      <c r="AQ68" s="831"/>
      <c r="AR68" s="831"/>
    </row>
    <row r="69" spans="2:44" ht="12" customHeight="1">
      <c r="B69" s="178"/>
      <c r="C69" s="116" t="s">
        <v>150</v>
      </c>
      <c r="D69" s="65"/>
      <c r="E69" s="43"/>
      <c r="F69" s="130"/>
      <c r="G69" s="131"/>
      <c r="H69" s="131"/>
      <c r="I69" s="131"/>
      <c r="J69" s="43"/>
      <c r="K69" s="43"/>
      <c r="L69" s="110"/>
      <c r="AA69" s="831"/>
      <c r="AB69" s="831"/>
      <c r="AC69" s="831"/>
      <c r="AD69" s="831"/>
      <c r="AE69" s="831"/>
      <c r="AF69" s="831"/>
      <c r="AG69" s="831"/>
      <c r="AH69" s="831"/>
      <c r="AI69" s="831"/>
      <c r="AJ69" s="831"/>
      <c r="AK69" s="831"/>
      <c r="AL69" s="831"/>
      <c r="AM69" s="831"/>
      <c r="AN69" s="831"/>
      <c r="AO69" s="831"/>
      <c r="AP69" s="831"/>
      <c r="AQ69" s="831"/>
      <c r="AR69" s="831"/>
    </row>
    <row r="70" spans="2:44" ht="12.75" customHeight="1">
      <c r="B70" s="178"/>
      <c r="C70" s="129"/>
      <c r="D70" s="132"/>
      <c r="E70" s="129"/>
      <c r="F70" s="122"/>
      <c r="G70" s="122"/>
      <c r="H70" s="122"/>
      <c r="I70" s="122"/>
      <c r="J70" s="123"/>
      <c r="K70" s="123"/>
      <c r="L70" s="115">
        <f>+E70</f>
        <v>0</v>
      </c>
      <c r="AA70" s="831"/>
      <c r="AB70" s="831"/>
      <c r="AC70" s="831"/>
      <c r="AD70" s="831"/>
      <c r="AE70" s="831"/>
      <c r="AF70" s="831"/>
      <c r="AG70" s="831"/>
      <c r="AH70" s="831"/>
      <c r="AI70" s="831"/>
      <c r="AJ70" s="831"/>
      <c r="AK70" s="831"/>
      <c r="AL70" s="831"/>
      <c r="AM70" s="831"/>
      <c r="AN70" s="831"/>
      <c r="AO70" s="831"/>
      <c r="AP70" s="831"/>
      <c r="AQ70" s="831"/>
      <c r="AR70" s="831"/>
    </row>
    <row r="71" spans="2:44" ht="20.25" customHeight="1">
      <c r="B71" s="288" t="s">
        <v>80</v>
      </c>
      <c r="C71" s="285" t="s">
        <v>154</v>
      </c>
      <c r="D71" s="65"/>
      <c r="E71" s="43"/>
      <c r="F71" s="118"/>
      <c r="G71" s="43"/>
      <c r="H71" s="43"/>
      <c r="I71" s="131"/>
      <c r="J71" s="43"/>
      <c r="K71" s="43"/>
      <c r="L71" s="110"/>
      <c r="AA71" s="831"/>
      <c r="AB71" s="831"/>
      <c r="AC71" s="831"/>
      <c r="AD71" s="831"/>
      <c r="AE71" s="831"/>
      <c r="AF71" s="831"/>
      <c r="AG71" s="831"/>
      <c r="AH71" s="831"/>
      <c r="AI71" s="831"/>
      <c r="AJ71" s="831"/>
      <c r="AK71" s="831"/>
      <c r="AL71" s="831"/>
      <c r="AM71" s="831"/>
      <c r="AN71" s="831"/>
      <c r="AO71" s="831"/>
      <c r="AP71" s="831"/>
      <c r="AQ71" s="831"/>
      <c r="AR71" s="831"/>
    </row>
    <row r="72" spans="2:12" ht="12" customHeight="1">
      <c r="B72" s="577">
        <f>Subcontracts!$C$10</f>
        <v>0</v>
      </c>
      <c r="C72" s="1006">
        <f>IF(D78&gt;0,"Tuition",)</f>
        <v>0</v>
      </c>
      <c r="D72" s="1010"/>
      <c r="E72" s="111">
        <f>IF(D78&gt;0,D78,)</f>
        <v>0</v>
      </c>
      <c r="F72" s="1006">
        <f>IF(Subcontracts!$F$5&gt;=3,+'Year 2'!F72,)</f>
        <v>0</v>
      </c>
      <c r="G72" s="1007"/>
      <c r="H72" s="1007"/>
      <c r="I72" s="1007"/>
      <c r="J72" s="1007"/>
      <c r="K72" s="111">
        <f>IF(Subcontracts!$F$5&gt;=3,+'Year 2'!K72+('Year 2'!K72*$B$72/100),)</f>
        <v>0</v>
      </c>
      <c r="L72" s="112"/>
    </row>
    <row r="73" spans="2:12" ht="12" customHeight="1">
      <c r="B73" s="178"/>
      <c r="C73" s="1006">
        <f>IF(Subcontracts!$F$5&gt;=3,+'Year 2'!C73,)</f>
        <v>0</v>
      </c>
      <c r="D73" s="1053"/>
      <c r="E73" s="111">
        <f>IF(Subcontracts!$F$5&gt;=3,+'Year 2'!E73+('Year 2'!E73*$B$72/100),)</f>
        <v>0</v>
      </c>
      <c r="F73" s="1006">
        <f>IF(Subcontracts!$F$5&gt;=3,+'Year 2'!F73,)</f>
        <v>0</v>
      </c>
      <c r="G73" s="1007"/>
      <c r="H73" s="1007"/>
      <c r="I73" s="1007"/>
      <c r="J73" s="1007"/>
      <c r="K73" s="111">
        <f>IF(Subcontracts!$F$5&gt;=3,+'Year 2'!K73+('Year 2'!K73*$B$72/100),)</f>
        <v>0</v>
      </c>
      <c r="L73" s="112"/>
    </row>
    <row r="74" spans="2:12" ht="12" customHeight="1">
      <c r="B74" s="178"/>
      <c r="C74" s="1006">
        <f>IF(Subcontracts!$F$5&gt;=3,+'Year 2'!C74,)</f>
        <v>0</v>
      </c>
      <c r="D74" s="1053"/>
      <c r="E74" s="111">
        <f>IF(Subcontracts!$F$5&gt;=3,+'Year 2'!E74+('Year 2'!E74*$B$72/100),)</f>
        <v>0</v>
      </c>
      <c r="F74" s="1006">
        <f>IF(Subcontracts!$F$5&gt;=3,+'Year 2'!F74,)</f>
        <v>0</v>
      </c>
      <c r="G74" s="1007"/>
      <c r="H74" s="1007"/>
      <c r="I74" s="1007"/>
      <c r="J74" s="1007"/>
      <c r="K74" s="111">
        <f>IF(Subcontracts!$F$5&gt;=3,+'Year 2'!K74+('Year 2'!K74*$B$72/100),)</f>
        <v>0</v>
      </c>
      <c r="L74" s="112"/>
    </row>
    <row r="75" spans="2:12" ht="12" customHeight="1">
      <c r="B75" s="178"/>
      <c r="C75" s="1006">
        <f>IF(Subcontracts!$F$5&gt;=3,+'Year 2'!C75,)</f>
        <v>0</v>
      </c>
      <c r="D75" s="1053"/>
      <c r="E75" s="111">
        <f>IF(Subcontracts!$F$5&gt;=3,+'Year 2'!E75+('Year 2'!E75*$B$72/100),)</f>
        <v>0</v>
      </c>
      <c r="F75" s="1006">
        <f>IF(Subcontracts!$F$5&gt;=3,+'Year 2'!F75,)</f>
        <v>0</v>
      </c>
      <c r="G75" s="1007"/>
      <c r="H75" s="1007"/>
      <c r="I75" s="1007"/>
      <c r="J75" s="1007"/>
      <c r="K75" s="111">
        <f>IF(Subcontracts!$F$5&gt;=3,+'Year 2'!K75+('Year 2'!K75*$B$72/100),)</f>
        <v>0</v>
      </c>
      <c r="L75" s="112"/>
    </row>
    <row r="76" spans="2:12" ht="12" customHeight="1">
      <c r="B76" s="178"/>
      <c r="C76" s="1006">
        <f>IF(Subcontracts!$F$5&gt;=3,+'Year 2'!C76,)</f>
        <v>0</v>
      </c>
      <c r="D76" s="1053"/>
      <c r="E76" s="111">
        <f>IF(Subcontracts!$F$5&gt;=3,+'Year 2'!E76+('Year 2'!E76*$B$72/100),)</f>
        <v>0</v>
      </c>
      <c r="F76" s="1006">
        <f>IF(Subcontracts!$F$5&gt;=3,+'Year 2'!F76,)</f>
        <v>0</v>
      </c>
      <c r="G76" s="1007"/>
      <c r="H76" s="1007"/>
      <c r="I76" s="1007"/>
      <c r="J76" s="1007"/>
      <c r="K76" s="111">
        <f>IF(Subcontracts!$F$5&gt;=3,+'Year 2'!K76+('Year 2'!K76*$B$72/100),)</f>
        <v>0</v>
      </c>
      <c r="L76" s="112"/>
    </row>
    <row r="77" spans="2:12" ht="12.75" customHeight="1">
      <c r="B77" s="178"/>
      <c r="C77" s="1008">
        <f>IF(Subcontracts!$F$5&gt;=3,+'Year 2'!C77,)</f>
        <v>0</v>
      </c>
      <c r="D77" s="1052"/>
      <c r="E77" s="111">
        <f>IF(Subcontracts!$F$5&gt;=3,+'Year 2'!E77+('Year 2'!E77*$B$72/100),)</f>
        <v>0</v>
      </c>
      <c r="F77" s="1008">
        <f>IF(Subcontracts!$F$5&gt;=3,+'Year 2'!F77,)</f>
        <v>0</v>
      </c>
      <c r="G77" s="1009"/>
      <c r="H77" s="1009"/>
      <c r="I77" s="1009"/>
      <c r="J77" s="1009"/>
      <c r="K77" s="111">
        <f>IF(Subcontracts!$F$5&gt;=3,+'Year 2'!K77+('Year 2'!K77*$B$72/100),)</f>
        <v>0</v>
      </c>
      <c r="L77" s="133">
        <f>SUM(E72:E77)+SUM(K72:K77)</f>
        <v>0</v>
      </c>
    </row>
    <row r="78" spans="1:12" ht="12.75" customHeight="1">
      <c r="A78" s="95"/>
      <c r="B78" s="134"/>
      <c r="C78" s="135" t="s">
        <v>10</v>
      </c>
      <c r="D78" s="136">
        <f>IF(Subcontracts!F5&gt;=3,(Subcontracts!S30+Subcontracts!S45),)</f>
        <v>0</v>
      </c>
      <c r="E78" s="137"/>
      <c r="F78" s="138"/>
      <c r="G78" s="139"/>
      <c r="H78" s="139"/>
      <c r="I78" s="139"/>
      <c r="J78" s="140"/>
      <c r="K78" s="141"/>
      <c r="L78" s="142">
        <f>D78+J78</f>
        <v>0</v>
      </c>
    </row>
    <row r="79" spans="1:12" ht="12.75" customHeight="1" thickBot="1">
      <c r="A79" s="95"/>
      <c r="B79" s="134"/>
      <c r="C79" s="116" t="s">
        <v>291</v>
      </c>
      <c r="D79" s="634"/>
      <c r="E79" s="644"/>
      <c r="F79" s="645"/>
      <c r="G79" s="649"/>
      <c r="H79" s="646"/>
      <c r="I79" s="646"/>
      <c r="J79" s="647"/>
      <c r="K79" s="648" t="s">
        <v>73</v>
      </c>
      <c r="L79" s="151">
        <f>+Subcontracts!E60</f>
        <v>0</v>
      </c>
    </row>
    <row r="80" spans="1:19" ht="24" customHeight="1" thickBot="1">
      <c r="A80" s="95"/>
      <c r="B80" s="143"/>
      <c r="C80" s="144" t="s">
        <v>294</v>
      </c>
      <c r="D80" s="145"/>
      <c r="E80" s="628"/>
      <c r="F80" s="637"/>
      <c r="G80" s="628"/>
      <c r="H80" s="628"/>
      <c r="I80" s="628"/>
      <c r="J80" s="628"/>
      <c r="K80" s="638"/>
      <c r="L80" s="148">
        <f>+L50+L53+L57+L64+L66+L67+L68+L70+L77+L79</f>
        <v>0</v>
      </c>
      <c r="M80" s="986">
        <f>IF(L80&gt;=500000,"&lt;---","")</f>
      </c>
      <c r="N80" s="985">
        <f>IF(L80&gt;=500000,"OVER $500,000--CHECK IF ALLOWED BY FOA OR IF PO APPROVAL OBTAINED","")</f>
      </c>
      <c r="O80" s="49"/>
      <c r="P80" s="49"/>
      <c r="Q80" s="49"/>
      <c r="R80" s="49"/>
      <c r="S80" s="49"/>
    </row>
    <row r="81" spans="1:12" ht="14.25" customHeight="1" thickBot="1">
      <c r="A81" s="95"/>
      <c r="B81" s="143"/>
      <c r="C81" s="116" t="s">
        <v>291</v>
      </c>
      <c r="D81" s="154"/>
      <c r="E81" s="643"/>
      <c r="F81" s="154"/>
      <c r="G81" s="632"/>
      <c r="H81" s="154"/>
      <c r="I81" s="154"/>
      <c r="J81" s="154"/>
      <c r="K81" s="642" t="s">
        <v>74</v>
      </c>
      <c r="L81" s="156">
        <f>+Subcontracts!E61</f>
        <v>0</v>
      </c>
    </row>
    <row r="82" spans="1:12" ht="24" customHeight="1" thickBot="1">
      <c r="A82" s="95"/>
      <c r="B82" s="143"/>
      <c r="C82" s="157" t="s">
        <v>292</v>
      </c>
      <c r="D82" s="158"/>
      <c r="E82" s="159"/>
      <c r="F82" s="160"/>
      <c r="G82" s="161"/>
      <c r="H82" s="161"/>
      <c r="I82" s="159"/>
      <c r="J82" s="159"/>
      <c r="K82" s="162"/>
      <c r="L82" s="163">
        <f>+L80+L81</f>
        <v>0</v>
      </c>
    </row>
    <row r="83" spans="1:12" ht="15" customHeight="1">
      <c r="A83" s="95"/>
      <c r="B83" s="143"/>
      <c r="C83" s="165" t="s">
        <v>399</v>
      </c>
      <c r="D83" s="166"/>
      <c r="E83" s="166"/>
      <c r="F83" s="166" t="s">
        <v>75</v>
      </c>
      <c r="G83" s="166"/>
      <c r="H83" s="166"/>
      <c r="I83" s="166"/>
      <c r="J83" s="166"/>
      <c r="K83" s="167"/>
      <c r="L83" s="168" t="s">
        <v>76</v>
      </c>
    </row>
    <row r="84" spans="1:12" ht="12" customHeight="1">
      <c r="A84" s="95"/>
      <c r="B84" s="143"/>
      <c r="C84" s="169"/>
      <c r="D84" s="170"/>
      <c r="E84" s="171"/>
      <c r="F84" s="170"/>
      <c r="G84" s="171"/>
      <c r="H84" s="171"/>
      <c r="I84" s="171"/>
      <c r="J84" s="171"/>
      <c r="K84" s="171"/>
      <c r="L84" s="171"/>
    </row>
    <row r="85" spans="1:12" ht="10.5">
      <c r="A85" s="95"/>
      <c r="B85" s="143"/>
      <c r="C85" s="170"/>
      <c r="D85" s="170"/>
      <c r="E85" s="171"/>
      <c r="F85" s="170"/>
      <c r="G85" s="171"/>
      <c r="H85" s="171"/>
      <c r="I85" s="171"/>
      <c r="J85" s="170"/>
      <c r="K85" s="171"/>
      <c r="L85" s="170"/>
    </row>
    <row r="86" spans="2:12" ht="0.75" customHeight="1">
      <c r="B86" s="172"/>
      <c r="C86" s="95"/>
      <c r="D86" s="95"/>
      <c r="E86" s="94"/>
      <c r="F86" s="95"/>
      <c r="G86" s="94"/>
      <c r="H86" s="94"/>
      <c r="I86" s="94"/>
      <c r="J86" s="95"/>
      <c r="K86" s="94"/>
      <c r="L86" s="95"/>
    </row>
    <row r="87" spans="2:12" ht="10.5">
      <c r="B87" s="172"/>
      <c r="L87" s="49"/>
    </row>
    <row r="88" spans="2:12" ht="10.5">
      <c r="B88" s="172"/>
      <c r="L88" s="94"/>
    </row>
    <row r="89" ht="8.25">
      <c r="B89" s="172"/>
    </row>
    <row r="90" spans="2:12" ht="10.5">
      <c r="B90" s="172"/>
      <c r="L90" s="94"/>
    </row>
    <row r="91" spans="2:11" ht="10.5">
      <c r="B91" s="172"/>
      <c r="E91" s="49"/>
      <c r="G91" s="49"/>
      <c r="H91" s="49"/>
      <c r="I91" s="49"/>
      <c r="K91" s="49"/>
    </row>
    <row r="92" spans="2:12" ht="10.5">
      <c r="B92" s="172"/>
      <c r="E92" s="49"/>
      <c r="G92" s="49"/>
      <c r="H92" s="49"/>
      <c r="I92" s="49"/>
      <c r="L92" s="94"/>
    </row>
    <row r="93" spans="2:11" ht="10.5">
      <c r="B93" s="172"/>
      <c r="C93" s="49"/>
      <c r="D93" s="49"/>
      <c r="E93" s="49"/>
      <c r="G93" s="49"/>
      <c r="H93" s="49"/>
      <c r="I93" s="49"/>
      <c r="K93" s="49"/>
    </row>
    <row r="94" spans="2:12" ht="10.5">
      <c r="B94" s="172"/>
      <c r="C94" s="49"/>
      <c r="D94" s="49"/>
      <c r="E94" s="49"/>
      <c r="F94" s="49"/>
      <c r="G94" s="49"/>
      <c r="H94" s="49"/>
      <c r="I94" s="49"/>
      <c r="J94" s="49"/>
      <c r="L94" s="49"/>
    </row>
    <row r="95" spans="2:12" ht="10.5">
      <c r="B95" s="172"/>
      <c r="C95" s="49"/>
      <c r="D95" s="49"/>
      <c r="E95" s="49"/>
      <c r="F95" s="49"/>
      <c r="G95" s="49"/>
      <c r="H95" s="49"/>
      <c r="I95" s="49"/>
      <c r="J95" s="49"/>
      <c r="K95" s="49"/>
      <c r="L95" s="49"/>
    </row>
    <row r="96" spans="2:12" ht="10.5">
      <c r="B96" s="172"/>
      <c r="C96" s="49"/>
      <c r="D96" s="49"/>
      <c r="E96" s="49"/>
      <c r="F96" s="49"/>
      <c r="G96" s="49"/>
      <c r="H96" s="49"/>
      <c r="I96" s="49"/>
      <c r="J96" s="49"/>
      <c r="K96" s="49"/>
      <c r="L96" s="49"/>
    </row>
    <row r="97" spans="2:12" ht="10.5">
      <c r="B97" s="172"/>
      <c r="C97" s="49"/>
      <c r="D97" s="49"/>
      <c r="E97" s="49"/>
      <c r="F97" s="49"/>
      <c r="G97" s="49"/>
      <c r="H97" s="49"/>
      <c r="I97" s="49"/>
      <c r="J97" s="49"/>
      <c r="K97" s="49"/>
      <c r="L97" s="49"/>
    </row>
    <row r="98" spans="2:12" ht="9" customHeight="1">
      <c r="B98" s="172"/>
      <c r="C98" s="49"/>
      <c r="D98" s="49"/>
      <c r="E98" s="49"/>
      <c r="F98" s="49"/>
      <c r="G98" s="49"/>
      <c r="H98" s="49"/>
      <c r="I98" s="49"/>
      <c r="J98" s="49"/>
      <c r="K98" s="49"/>
      <c r="L98" s="49"/>
    </row>
    <row r="99" spans="2:12" ht="10.5">
      <c r="B99" s="172"/>
      <c r="C99" s="49"/>
      <c r="D99" s="49"/>
      <c r="E99" s="49"/>
      <c r="F99" s="49"/>
      <c r="G99" s="49"/>
      <c r="H99" s="49"/>
      <c r="I99" s="49"/>
      <c r="J99" s="49"/>
      <c r="K99" s="49"/>
      <c r="L99" s="49"/>
    </row>
    <row r="100" spans="2:12" ht="16.5" customHeight="1">
      <c r="B100" s="172"/>
      <c r="C100" s="49"/>
      <c r="D100" s="49"/>
      <c r="E100" s="49"/>
      <c r="F100" s="49"/>
      <c r="G100" s="49"/>
      <c r="H100" s="49"/>
      <c r="I100" s="49"/>
      <c r="J100" s="49"/>
      <c r="K100" s="49"/>
      <c r="L100" s="49"/>
    </row>
    <row r="101" spans="2:12" ht="16.5" customHeight="1">
      <c r="B101" s="172"/>
      <c r="C101" s="49"/>
      <c r="D101" s="49"/>
      <c r="E101" s="49"/>
      <c r="F101" s="49"/>
      <c r="G101" s="49"/>
      <c r="H101" s="49"/>
      <c r="I101" s="49"/>
      <c r="J101" s="49"/>
      <c r="K101" s="49"/>
      <c r="L101" s="49"/>
    </row>
    <row r="102" spans="2:12" ht="10.5" customHeight="1">
      <c r="B102" s="172"/>
      <c r="C102" s="49"/>
      <c r="D102" s="49"/>
      <c r="E102" s="49"/>
      <c r="F102" s="49"/>
      <c r="G102" s="49"/>
      <c r="H102" s="49"/>
      <c r="I102" s="49"/>
      <c r="J102" s="49"/>
      <c r="K102" s="49"/>
      <c r="L102" s="49"/>
    </row>
    <row r="103" spans="2:12" ht="10.5" customHeight="1">
      <c r="B103" s="172"/>
      <c r="C103" s="49"/>
      <c r="D103" s="49"/>
      <c r="E103" s="49"/>
      <c r="F103" s="49"/>
      <c r="G103" s="49"/>
      <c r="H103" s="49"/>
      <c r="I103" s="49"/>
      <c r="J103" s="49"/>
      <c r="K103" s="49"/>
      <c r="L103" s="49"/>
    </row>
    <row r="104" spans="2:12" ht="10.5" customHeight="1">
      <c r="B104" s="172"/>
      <c r="C104" s="49"/>
      <c r="D104" s="49"/>
      <c r="E104" s="49"/>
      <c r="F104" s="49"/>
      <c r="G104" s="49"/>
      <c r="H104" s="49"/>
      <c r="I104" s="49"/>
      <c r="J104" s="49"/>
      <c r="K104" s="49"/>
      <c r="L104" s="49"/>
    </row>
    <row r="105" spans="2:12" ht="10.5" customHeight="1">
      <c r="B105" s="172"/>
      <c r="C105" s="49"/>
      <c r="D105" s="49"/>
      <c r="E105" s="49"/>
      <c r="F105" s="49"/>
      <c r="G105" s="49"/>
      <c r="H105" s="49"/>
      <c r="I105" s="49"/>
      <c r="J105" s="49"/>
      <c r="K105" s="49"/>
      <c r="L105" s="49"/>
    </row>
    <row r="106" spans="2:12" ht="10.5" customHeight="1">
      <c r="B106" s="172"/>
      <c r="C106" s="49"/>
      <c r="D106" s="49"/>
      <c r="E106" s="49"/>
      <c r="F106" s="49"/>
      <c r="G106" s="49"/>
      <c r="H106" s="49"/>
      <c r="I106" s="49"/>
      <c r="J106" s="49"/>
      <c r="K106" s="49"/>
      <c r="L106" s="49"/>
    </row>
    <row r="107" spans="2:12" ht="10.5" customHeight="1">
      <c r="B107" s="172"/>
      <c r="C107" s="49"/>
      <c r="D107" s="49"/>
      <c r="E107" s="49"/>
      <c r="F107" s="49"/>
      <c r="G107" s="49"/>
      <c r="H107" s="49"/>
      <c r="I107" s="49"/>
      <c r="J107" s="49"/>
      <c r="K107" s="49"/>
      <c r="L107" s="49"/>
    </row>
    <row r="108" spans="2:12" ht="22.5" customHeight="1">
      <c r="B108" s="172"/>
      <c r="C108" s="49"/>
      <c r="D108" s="49"/>
      <c r="E108" s="49"/>
      <c r="F108" s="49"/>
      <c r="G108" s="49"/>
      <c r="H108" s="49"/>
      <c r="I108" s="49"/>
      <c r="J108" s="49"/>
      <c r="K108" s="49"/>
      <c r="L108" s="49"/>
    </row>
    <row r="109" spans="2:12" ht="22.5" customHeight="1">
      <c r="B109" s="172"/>
      <c r="C109" s="49"/>
      <c r="D109" s="49"/>
      <c r="E109" s="49"/>
      <c r="F109" s="49"/>
      <c r="G109" s="49"/>
      <c r="H109" s="49"/>
      <c r="I109" s="49"/>
      <c r="J109" s="49"/>
      <c r="K109" s="49"/>
      <c r="L109" s="49"/>
    </row>
    <row r="110" spans="2:12" ht="22.5" customHeight="1">
      <c r="B110" s="172"/>
      <c r="C110" s="49"/>
      <c r="D110" s="49"/>
      <c r="E110" s="49"/>
      <c r="F110" s="49"/>
      <c r="G110" s="49"/>
      <c r="H110" s="49"/>
      <c r="I110" s="49"/>
      <c r="J110" s="49"/>
      <c r="K110" s="49"/>
      <c r="L110" s="49"/>
    </row>
    <row r="111" spans="2:12" ht="22.5" customHeight="1">
      <c r="B111" s="172"/>
      <c r="C111" s="49"/>
      <c r="D111" s="49"/>
      <c r="E111" s="49"/>
      <c r="F111" s="49"/>
      <c r="G111" s="49"/>
      <c r="H111" s="49"/>
      <c r="I111" s="49"/>
      <c r="J111" s="49"/>
      <c r="K111" s="49"/>
      <c r="L111" s="49"/>
    </row>
    <row r="112" spans="2:12" ht="22.5" customHeight="1">
      <c r="B112" s="172"/>
      <c r="C112" s="49"/>
      <c r="D112" s="49"/>
      <c r="E112" s="49"/>
      <c r="F112" s="49"/>
      <c r="G112" s="49"/>
      <c r="H112" s="49"/>
      <c r="I112" s="49"/>
      <c r="J112" s="49"/>
      <c r="K112" s="49"/>
      <c r="L112" s="49"/>
    </row>
    <row r="113" spans="3:12" ht="22.5" customHeight="1">
      <c r="C113" s="49"/>
      <c r="D113" s="49"/>
      <c r="E113" s="49"/>
      <c r="F113" s="49"/>
      <c r="G113" s="49"/>
      <c r="H113" s="49"/>
      <c r="I113" s="49"/>
      <c r="J113" s="49"/>
      <c r="K113" s="49"/>
      <c r="L113" s="49"/>
    </row>
    <row r="114" spans="3:12" ht="12.75" customHeight="1">
      <c r="C114" s="49"/>
      <c r="D114" s="49"/>
      <c r="E114" s="49"/>
      <c r="F114" s="49"/>
      <c r="G114" s="49"/>
      <c r="H114" s="49"/>
      <c r="I114" s="49"/>
      <c r="J114" s="49"/>
      <c r="K114" s="49"/>
      <c r="L114" s="49"/>
    </row>
    <row r="115" spans="3:12" ht="10.5" customHeight="1">
      <c r="C115" s="49"/>
      <c r="D115" s="49"/>
      <c r="E115" s="49"/>
      <c r="F115" s="49"/>
      <c r="G115" s="49"/>
      <c r="H115" s="49"/>
      <c r="I115" s="49"/>
      <c r="J115" s="49"/>
      <c r="K115" s="49"/>
      <c r="L115" s="49"/>
    </row>
    <row r="116" spans="3:12" ht="22.5" customHeight="1">
      <c r="C116" s="49"/>
      <c r="D116" s="49"/>
      <c r="E116" s="49"/>
      <c r="F116" s="49"/>
      <c r="G116" s="49"/>
      <c r="H116" s="49"/>
      <c r="I116" s="49"/>
      <c r="J116" s="49"/>
      <c r="K116" s="49"/>
      <c r="L116" s="49"/>
    </row>
    <row r="117" spans="3:12" ht="22.5" customHeight="1">
      <c r="C117" s="49"/>
      <c r="D117" s="49"/>
      <c r="E117" s="49"/>
      <c r="F117" s="49"/>
      <c r="G117" s="49"/>
      <c r="H117" s="49"/>
      <c r="I117" s="49"/>
      <c r="J117" s="49"/>
      <c r="K117" s="49"/>
      <c r="L117" s="49"/>
    </row>
    <row r="118" spans="3:12" ht="12.75" customHeight="1">
      <c r="C118" s="49"/>
      <c r="D118" s="49"/>
      <c r="E118" s="49"/>
      <c r="F118" s="49"/>
      <c r="G118" s="49"/>
      <c r="H118" s="49"/>
      <c r="I118" s="49"/>
      <c r="J118" s="49"/>
      <c r="K118" s="49"/>
      <c r="L118" s="49"/>
    </row>
    <row r="119" spans="3:12" ht="10.5" customHeight="1">
      <c r="C119" s="49"/>
      <c r="D119" s="49"/>
      <c r="E119" s="49"/>
      <c r="F119" s="49"/>
      <c r="G119" s="49"/>
      <c r="H119" s="49"/>
      <c r="I119" s="49"/>
      <c r="J119" s="49"/>
      <c r="K119" s="49"/>
      <c r="L119" s="49"/>
    </row>
    <row r="120" spans="3:12" ht="27" customHeight="1">
      <c r="C120" s="49"/>
      <c r="D120" s="49"/>
      <c r="E120" s="49"/>
      <c r="F120" s="49"/>
      <c r="G120" s="49"/>
      <c r="H120" s="49"/>
      <c r="I120" s="49"/>
      <c r="J120" s="49"/>
      <c r="K120" s="49"/>
      <c r="L120" s="49"/>
    </row>
    <row r="121" spans="3:12" ht="9" customHeight="1">
      <c r="C121" s="49"/>
      <c r="D121" s="49"/>
      <c r="E121" s="49"/>
      <c r="F121" s="49"/>
      <c r="G121" s="49"/>
      <c r="H121" s="49"/>
      <c r="I121" s="49"/>
      <c r="J121" s="49"/>
      <c r="K121" s="49"/>
      <c r="L121" s="49"/>
    </row>
    <row r="122" spans="3:12" ht="0.75" customHeight="1">
      <c r="C122" s="49"/>
      <c r="D122" s="49"/>
      <c r="E122" s="49"/>
      <c r="F122" s="49"/>
      <c r="G122" s="49"/>
      <c r="H122" s="49"/>
      <c r="I122" s="49"/>
      <c r="J122" s="49"/>
      <c r="K122" s="49"/>
      <c r="L122" s="49"/>
    </row>
    <row r="123" spans="3:12" ht="21.75" customHeight="1"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3:12" ht="12" customHeight="1">
      <c r="C124" s="49"/>
      <c r="D124" s="49"/>
      <c r="E124" s="49"/>
      <c r="F124" s="49"/>
      <c r="G124" s="49"/>
      <c r="H124" s="49"/>
      <c r="I124" s="49"/>
      <c r="J124" s="49"/>
      <c r="K124" s="49"/>
      <c r="L124" s="49"/>
    </row>
    <row r="125" spans="3:12" ht="0.75" customHeight="1"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3:12" ht="12.75" customHeight="1">
      <c r="C126" s="49"/>
      <c r="D126" s="49"/>
      <c r="E126" s="49"/>
      <c r="F126" s="49"/>
      <c r="G126" s="49"/>
      <c r="H126" s="49"/>
      <c r="I126" s="49"/>
      <c r="J126" s="49"/>
      <c r="K126" s="49"/>
      <c r="L126" s="49"/>
    </row>
    <row r="127" spans="3:12" ht="10.5" customHeight="1">
      <c r="C127" s="49"/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3:12" ht="10.5">
      <c r="C128" s="49"/>
      <c r="D128" s="49"/>
      <c r="E128" s="49"/>
      <c r="F128" s="49"/>
      <c r="G128" s="49"/>
      <c r="H128" s="49"/>
      <c r="I128" s="49"/>
      <c r="J128" s="49"/>
      <c r="K128" s="49"/>
      <c r="L128" s="49"/>
    </row>
    <row r="129" spans="3:11" ht="10.5" customHeight="1">
      <c r="C129" s="49"/>
      <c r="D129" s="49"/>
      <c r="E129" s="49"/>
      <c r="F129" s="49"/>
      <c r="G129" s="49"/>
      <c r="H129" s="49"/>
      <c r="I129" s="49"/>
      <c r="J129" s="49"/>
      <c r="K129" s="49"/>
    </row>
    <row r="130" ht="10.5" customHeight="1"/>
    <row r="132" ht="10.5" customHeight="1"/>
    <row r="133" ht="10.5" customHeight="1"/>
    <row r="135" ht="10.5" customHeight="1"/>
    <row r="136" ht="10.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</sheetData>
  <sheetProtection sheet="1"/>
  <mergeCells count="114">
    <mergeCell ref="I18:I19"/>
    <mergeCell ref="F53:J53"/>
    <mergeCell ref="C73:D73"/>
    <mergeCell ref="C74:D74"/>
    <mergeCell ref="F74:J74"/>
    <mergeCell ref="C63:D63"/>
    <mergeCell ref="F63:J63"/>
    <mergeCell ref="C64:D64"/>
    <mergeCell ref="F64:J64"/>
    <mergeCell ref="C61:D61"/>
    <mergeCell ref="F77:J77"/>
    <mergeCell ref="C66:D66"/>
    <mergeCell ref="C72:D72"/>
    <mergeCell ref="F72:J72"/>
    <mergeCell ref="F73:J73"/>
    <mergeCell ref="C75:D75"/>
    <mergeCell ref="C76:D76"/>
    <mergeCell ref="C77:D77"/>
    <mergeCell ref="F75:J75"/>
    <mergeCell ref="F76:J76"/>
    <mergeCell ref="F61:J61"/>
    <mergeCell ref="C62:D62"/>
    <mergeCell ref="F62:J62"/>
    <mergeCell ref="C59:D59"/>
    <mergeCell ref="F59:J59"/>
    <mergeCell ref="C60:D60"/>
    <mergeCell ref="F60:J60"/>
    <mergeCell ref="C56:D56"/>
    <mergeCell ref="F56:J56"/>
    <mergeCell ref="C57:D57"/>
    <mergeCell ref="F57:J57"/>
    <mergeCell ref="F52:J52"/>
    <mergeCell ref="C53:D53"/>
    <mergeCell ref="C55:D55"/>
    <mergeCell ref="F55:J55"/>
    <mergeCell ref="C44:D45"/>
    <mergeCell ref="C46:D47"/>
    <mergeCell ref="C48:D49"/>
    <mergeCell ref="C52:D52"/>
    <mergeCell ref="C36:D37"/>
    <mergeCell ref="C38:D39"/>
    <mergeCell ref="C40:D41"/>
    <mergeCell ref="C42:D43"/>
    <mergeCell ref="C28:D29"/>
    <mergeCell ref="C30:D31"/>
    <mergeCell ref="C32:D33"/>
    <mergeCell ref="C34:D35"/>
    <mergeCell ref="C20:D21"/>
    <mergeCell ref="C22:D23"/>
    <mergeCell ref="C24:D25"/>
    <mergeCell ref="C26:D27"/>
    <mergeCell ref="F46:F47"/>
    <mergeCell ref="F48:F49"/>
    <mergeCell ref="F42:F43"/>
    <mergeCell ref="F44:F45"/>
    <mergeCell ref="F38:F39"/>
    <mergeCell ref="F40:F41"/>
    <mergeCell ref="F34:F35"/>
    <mergeCell ref="F36:F37"/>
    <mergeCell ref="F30:F31"/>
    <mergeCell ref="F32:F33"/>
    <mergeCell ref="F26:F27"/>
    <mergeCell ref="F28:F29"/>
    <mergeCell ref="F22:F23"/>
    <mergeCell ref="F24:F25"/>
    <mergeCell ref="F20:F21"/>
    <mergeCell ref="F18:F19"/>
    <mergeCell ref="E20:E21"/>
    <mergeCell ref="E22:E23"/>
    <mergeCell ref="E24:E25"/>
    <mergeCell ref="E26:E27"/>
    <mergeCell ref="E28:E29"/>
    <mergeCell ref="E30:E31"/>
    <mergeCell ref="E32:E33"/>
    <mergeCell ref="E34:E35"/>
    <mergeCell ref="E44:E45"/>
    <mergeCell ref="E46:E47"/>
    <mergeCell ref="E48:E49"/>
    <mergeCell ref="E36:E37"/>
    <mergeCell ref="E38:E39"/>
    <mergeCell ref="E40:E41"/>
    <mergeCell ref="E42:E43"/>
    <mergeCell ref="H18:H19"/>
    <mergeCell ref="G20:G21"/>
    <mergeCell ref="H20:H21"/>
    <mergeCell ref="G22:G23"/>
    <mergeCell ref="H22:H23"/>
    <mergeCell ref="G18:G19"/>
    <mergeCell ref="H24:H25"/>
    <mergeCell ref="G26:G27"/>
    <mergeCell ref="H26:H27"/>
    <mergeCell ref="G28:G29"/>
    <mergeCell ref="H28:H29"/>
    <mergeCell ref="G24:G25"/>
    <mergeCell ref="G30:G31"/>
    <mergeCell ref="H30:H31"/>
    <mergeCell ref="G32:G33"/>
    <mergeCell ref="H32:H33"/>
    <mergeCell ref="G34:G35"/>
    <mergeCell ref="H34:H35"/>
    <mergeCell ref="G36:G37"/>
    <mergeCell ref="H36:H37"/>
    <mergeCell ref="G38:G39"/>
    <mergeCell ref="H38:H39"/>
    <mergeCell ref="G40:G41"/>
    <mergeCell ref="H40:H41"/>
    <mergeCell ref="G48:G49"/>
    <mergeCell ref="H48:H49"/>
    <mergeCell ref="G42:G43"/>
    <mergeCell ref="H42:H43"/>
    <mergeCell ref="G44:G45"/>
    <mergeCell ref="H44:H45"/>
    <mergeCell ref="G46:G47"/>
    <mergeCell ref="H46:H47"/>
  </mergeCells>
  <printOptions horizontalCentered="1"/>
  <pageMargins left="0.35" right="0.25" top="0.2" bottom="0" header="0.5" footer="0.5"/>
  <pageSetup fitToHeight="1" fitToWidth="1" horizontalDpi="300" verticalDpi="300" orientation="portrait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FJ129"/>
  <sheetViews>
    <sheetView showGridLines="0" showZeros="0" showOutlineSymbols="0" zoomScalePageLayoutView="0" workbookViewId="0" topLeftCell="A1">
      <selection activeCell="C20" sqref="C20:D21"/>
    </sheetView>
  </sheetViews>
  <sheetFormatPr defaultColWidth="7.140625" defaultRowHeight="12.75"/>
  <cols>
    <col min="1" max="1" width="6.421875" style="45" customWidth="1"/>
    <col min="2" max="2" width="10.7109375" style="45" customWidth="1"/>
    <col min="3" max="3" width="24.140625" style="45" customWidth="1"/>
    <col min="4" max="5" width="14.00390625" style="45" customWidth="1"/>
    <col min="6" max="6" width="7.421875" style="45" customWidth="1"/>
    <col min="7" max="7" width="7.57421875" style="45" customWidth="1"/>
    <col min="8" max="8" width="7.421875" style="45" customWidth="1"/>
    <col min="9" max="9" width="10.421875" style="45" customWidth="1"/>
    <col min="10" max="11" width="12.00390625" style="45" customWidth="1"/>
    <col min="12" max="12" width="12.421875" style="45" customWidth="1"/>
    <col min="13" max="27" width="7.140625" style="45" customWidth="1"/>
    <col min="28" max="28" width="17.00390625" style="45" customWidth="1"/>
    <col min="29" max="181" width="7.140625" style="45" customWidth="1"/>
    <col min="182" max="16384" width="7.140625" style="45" customWidth="1"/>
  </cols>
  <sheetData>
    <row r="1" spans="1:43" ht="15" customHeight="1">
      <c r="A1" s="43"/>
      <c r="B1" s="44" t="s">
        <v>49</v>
      </c>
      <c r="C1" s="44"/>
      <c r="D1" s="605">
        <f>IF(AND(Subcontracts!$Z$50=1),AG30,IF(AND(Subcontracts!$Z$50=2),AG42,IF(AND(Subcontracts!$Z$50=3),AG53,IF(AND(Subcontracts!$Z$50=4),AG65,0))))</f>
        <v>0</v>
      </c>
      <c r="AA1" s="831"/>
      <c r="AB1" s="832" t="s">
        <v>256</v>
      </c>
      <c r="AC1" s="833">
        <f>'Year 2'!AC1</f>
        <v>39630</v>
      </c>
      <c r="AD1" s="833">
        <f>'Year 2'!AD1</f>
        <v>39995</v>
      </c>
      <c r="AE1" s="833">
        <f>'Year 2'!AE1</f>
        <v>40360</v>
      </c>
      <c r="AF1" s="833">
        <f>'Year 2'!AF1</f>
        <v>40725</v>
      </c>
      <c r="AG1" s="833">
        <f>'Year 2'!AG1</f>
        <v>41091</v>
      </c>
      <c r="AH1" s="833">
        <f>'Year 2'!AH1</f>
        <v>41456</v>
      </c>
      <c r="AI1" s="833">
        <f>'Year 2'!AI1</f>
        <v>41821</v>
      </c>
      <c r="AJ1" s="833">
        <f>'Year 2'!AJ1</f>
        <v>42186</v>
      </c>
      <c r="AK1" s="833">
        <f>'Year 2'!AK1</f>
        <v>42552</v>
      </c>
      <c r="AL1" s="833">
        <f>'Year 2'!AL1</f>
        <v>42917</v>
      </c>
      <c r="AM1" s="833">
        <f>'Year 2'!AM1</f>
        <v>43282</v>
      </c>
      <c r="AN1" s="833">
        <f>'Year 2'!AN1</f>
        <v>43647</v>
      </c>
      <c r="AO1" s="833">
        <f>'Year 2'!AO1</f>
        <v>44013</v>
      </c>
      <c r="AP1" s="833">
        <f>'Year 2'!AP1</f>
        <v>44378</v>
      </c>
      <c r="AQ1" s="828"/>
    </row>
    <row r="2" spans="1:43" ht="15" customHeight="1">
      <c r="A2" s="43"/>
      <c r="B2" s="43" t="s">
        <v>77</v>
      </c>
      <c r="C2" s="43"/>
      <c r="D2" s="576">
        <f>Subcontracts!C9</f>
        <v>0</v>
      </c>
      <c r="AA2" s="831"/>
      <c r="AB2" s="832" t="s">
        <v>258</v>
      </c>
      <c r="AC2" s="834">
        <f>'Year 2'!AC2</f>
        <v>37.5</v>
      </c>
      <c r="AD2" s="834">
        <f>'Year 2'!AD2</f>
        <v>37.5</v>
      </c>
      <c r="AE2" s="834">
        <f>'Year 2'!AE2</f>
        <v>39</v>
      </c>
      <c r="AF2" s="834">
        <f>'Year 2'!AF2</f>
        <v>41.5</v>
      </c>
      <c r="AG2" s="834">
        <f>'Year 2'!AG2</f>
        <v>43</v>
      </c>
      <c r="AH2" s="834">
        <f>'Year 2'!AH2</f>
        <v>41</v>
      </c>
      <c r="AI2" s="834">
        <f>'Year 2'!AI2</f>
        <v>42.5</v>
      </c>
      <c r="AJ2" s="834">
        <f>'Year 2'!AJ2</f>
        <v>44</v>
      </c>
      <c r="AK2" s="834">
        <f>'Year 2'!AK2</f>
        <v>45.5</v>
      </c>
      <c r="AL2" s="834">
        <f>'Year 2'!AL2</f>
        <v>46.5</v>
      </c>
      <c r="AM2" s="834">
        <f>'Year 2'!AM2</f>
        <v>47.5</v>
      </c>
      <c r="AN2" s="834">
        <f>'Year 2'!AN2</f>
        <v>49</v>
      </c>
      <c r="AO2" s="834">
        <f>'Year 2'!AO2</f>
        <v>49</v>
      </c>
      <c r="AP2" s="834">
        <f>'Year 2'!AP2</f>
        <v>49</v>
      </c>
      <c r="AQ2" s="828"/>
    </row>
    <row r="3" spans="1:43" ht="15" customHeight="1">
      <c r="A3" s="43"/>
      <c r="B3" s="291" t="s">
        <v>86</v>
      </c>
      <c r="C3" s="291"/>
      <c r="D3" s="292" t="s">
        <v>83</v>
      </c>
      <c r="AA3" s="831"/>
      <c r="AB3" s="832" t="s">
        <v>259</v>
      </c>
      <c r="AC3" s="834">
        <f>'Year 2'!AC3</f>
        <v>16</v>
      </c>
      <c r="AD3" s="834">
        <f>'Year 2'!AD3</f>
        <v>16</v>
      </c>
      <c r="AE3" s="834">
        <f>'Year 2'!AE3</f>
        <v>17</v>
      </c>
      <c r="AF3" s="834">
        <f>'Year 2'!AF3</f>
        <v>17</v>
      </c>
      <c r="AG3" s="834">
        <f>'Year 2'!AG3</f>
        <v>17</v>
      </c>
      <c r="AH3" s="834">
        <f>'Year 2'!AH3</f>
        <v>17</v>
      </c>
      <c r="AI3" s="834">
        <f>'Year 2'!AI3</f>
        <v>15</v>
      </c>
      <c r="AJ3" s="834">
        <f>'Year 2'!AJ3</f>
        <v>15</v>
      </c>
      <c r="AK3" s="834">
        <f>'Year 2'!AK3</f>
        <v>14</v>
      </c>
      <c r="AL3" s="834">
        <f>'Year 2'!AL3</f>
        <v>14</v>
      </c>
      <c r="AM3" s="834">
        <f>'Year 2'!AM3</f>
        <v>15</v>
      </c>
      <c r="AN3" s="834">
        <f>'Year 2'!AN3</f>
        <v>15</v>
      </c>
      <c r="AO3" s="834">
        <f>'Year 2'!AO3</f>
        <v>15</v>
      </c>
      <c r="AP3" s="834">
        <f>'Year 2'!AP3</f>
        <v>15</v>
      </c>
      <c r="AQ3" s="828"/>
    </row>
    <row r="4" spans="1:43" ht="15" customHeight="1">
      <c r="A4" s="43"/>
      <c r="B4" s="43"/>
      <c r="C4" s="43"/>
      <c r="D4" s="43"/>
      <c r="AA4" s="831"/>
      <c r="AB4" s="832" t="s">
        <v>260</v>
      </c>
      <c r="AC4" s="834">
        <f>'Year 2'!AC4</f>
        <v>12.5</v>
      </c>
      <c r="AD4" s="834">
        <f>'Year 2'!AD4</f>
        <v>13.5</v>
      </c>
      <c r="AE4" s="834">
        <f>'Year 2'!AE4</f>
        <v>13</v>
      </c>
      <c r="AF4" s="834">
        <f>'Year 2'!AF4</f>
        <v>13</v>
      </c>
      <c r="AG4" s="834">
        <f>'Year 2'!AG4</f>
        <v>14.5</v>
      </c>
      <c r="AH4" s="834">
        <f>'Year 2'!AH4</f>
        <v>15</v>
      </c>
      <c r="AI4" s="834">
        <f>'Year 2'!AI4</f>
        <v>14</v>
      </c>
      <c r="AJ4" s="834">
        <f>'Year 2'!AJ4</f>
        <v>16</v>
      </c>
      <c r="AK4" s="834">
        <f>'Year 2'!AK4</f>
        <v>14</v>
      </c>
      <c r="AL4" s="834">
        <f>'Year 2'!AL4</f>
        <v>15</v>
      </c>
      <c r="AM4" s="834">
        <f>'Year 2'!AM4</f>
        <v>16</v>
      </c>
      <c r="AN4" s="834">
        <f>'Year 2'!AN4</f>
        <v>17</v>
      </c>
      <c r="AO4" s="834">
        <f>'Year 2'!AO4</f>
        <v>17</v>
      </c>
      <c r="AP4" s="834">
        <f>'Year 2'!AP4</f>
        <v>17</v>
      </c>
      <c r="AQ4" s="828"/>
    </row>
    <row r="5" spans="1:43" ht="15" customHeight="1">
      <c r="A5" s="43"/>
      <c r="B5" s="43"/>
      <c r="C5" s="43"/>
      <c r="D5" s="43"/>
      <c r="I5" s="604"/>
      <c r="AA5" s="831"/>
      <c r="AB5" s="832" t="s">
        <v>261</v>
      </c>
      <c r="AC5" s="834">
        <f>'Year 2'!AC5</f>
        <v>5</v>
      </c>
      <c r="AD5" s="834">
        <f>'Year 2'!AD5</f>
        <v>5</v>
      </c>
      <c r="AE5" s="834">
        <f>'Year 2'!AE5</f>
        <v>5</v>
      </c>
      <c r="AF5" s="834">
        <f>'Year 2'!AF5</f>
        <v>5</v>
      </c>
      <c r="AG5" s="834">
        <f>'Year 2'!AG5</f>
        <v>5</v>
      </c>
      <c r="AH5" s="834">
        <f>'Year 2'!AH5</f>
        <v>5</v>
      </c>
      <c r="AI5" s="834">
        <f>'Year 2'!AI5</f>
        <v>5</v>
      </c>
      <c r="AJ5" s="834">
        <f>'Year 2'!AJ5</f>
        <v>5</v>
      </c>
      <c r="AK5" s="834">
        <f>'Year 2'!AK5</f>
        <v>5</v>
      </c>
      <c r="AL5" s="834">
        <f>'Year 2'!AL5</f>
        <v>5</v>
      </c>
      <c r="AM5" s="834">
        <f>'Year 2'!AM5</f>
        <v>5</v>
      </c>
      <c r="AN5" s="834">
        <f>'Year 2'!AN5</f>
        <v>5</v>
      </c>
      <c r="AO5" s="834">
        <f>'Year 2'!AO5</f>
        <v>5</v>
      </c>
      <c r="AP5" s="834">
        <f>'Year 2'!AP5</f>
        <v>5</v>
      </c>
      <c r="AQ5" s="828"/>
    </row>
    <row r="6" spans="1:43" ht="15" customHeight="1">
      <c r="A6" s="43"/>
      <c r="B6" s="43"/>
      <c r="C6" s="43"/>
      <c r="D6" s="43"/>
      <c r="AA6" s="831"/>
      <c r="AB6" s="832" t="s">
        <v>257</v>
      </c>
      <c r="AC6" s="834">
        <f>'Year 2'!AC6</f>
        <v>42.67</v>
      </c>
      <c r="AD6" s="834">
        <f>'Year 2'!AD6</f>
        <v>41.49</v>
      </c>
      <c r="AE6" s="834">
        <f>'Year 2'!AE6</f>
        <v>44.09</v>
      </c>
      <c r="AF6" s="834">
        <f>'Year 2'!AF6</f>
        <v>43.27</v>
      </c>
      <c r="AG6" s="834">
        <f>'Year 2'!AG6</f>
        <v>50.16</v>
      </c>
      <c r="AH6" s="834">
        <f>'Year 2'!AH6</f>
        <v>58.75</v>
      </c>
      <c r="AI6" s="834">
        <f>'Year 2'!AI6</f>
        <v>53.48</v>
      </c>
      <c r="AJ6" s="834">
        <f>'Year 2'!AJ6</f>
        <v>53.58</v>
      </c>
      <c r="AK6" s="834">
        <f>'Year 2'!AK6</f>
        <v>54.61</v>
      </c>
      <c r="AL6" s="834">
        <f>'Year 2'!AL6</f>
        <v>57.75</v>
      </c>
      <c r="AM6" s="834">
        <f>'Year 2'!AM6</f>
        <v>59.38</v>
      </c>
      <c r="AN6" s="834">
        <f>'Year 2'!AN6</f>
        <v>61.645</v>
      </c>
      <c r="AO6" s="834">
        <f>'Year 2'!AO6</f>
        <v>64.05</v>
      </c>
      <c r="AP6" s="834">
        <f>'Year 2'!AP6</f>
        <v>64.05</v>
      </c>
      <c r="AQ6" s="828"/>
    </row>
    <row r="7" spans="1:43" ht="6" customHeight="1">
      <c r="A7" s="43"/>
      <c r="B7" s="43"/>
      <c r="C7" s="46"/>
      <c r="D7" s="43"/>
      <c r="AA7" s="831"/>
      <c r="AB7" s="832"/>
      <c r="AC7" s="834">
        <f>'Year 2'!AC7</f>
        <v>0</v>
      </c>
      <c r="AD7" s="834">
        <f>'Year 2'!AD7</f>
        <v>0</v>
      </c>
      <c r="AE7" s="834">
        <f>'Year 2'!AE7</f>
        <v>0</v>
      </c>
      <c r="AF7" s="834">
        <f>'Year 2'!AF7</f>
        <v>0</v>
      </c>
      <c r="AG7" s="834">
        <f>'Year 2'!AG7</f>
        <v>0</v>
      </c>
      <c r="AH7" s="834">
        <f>'Year 2'!AH7</f>
        <v>0</v>
      </c>
      <c r="AI7" s="834">
        <f>'Year 2'!AI7</f>
        <v>0</v>
      </c>
      <c r="AJ7" s="834">
        <f>'Year 2'!AJ7</f>
        <v>0</v>
      </c>
      <c r="AK7" s="834">
        <f>'Year 2'!AK7</f>
        <v>0</v>
      </c>
      <c r="AL7" s="834">
        <f>'Year 2'!AL7</f>
        <v>0</v>
      </c>
      <c r="AM7" s="834">
        <f>'Year 2'!AM7</f>
        <v>0</v>
      </c>
      <c r="AN7" s="834">
        <f>'Year 2'!AN7</f>
        <v>0</v>
      </c>
      <c r="AO7" s="834">
        <f>'Year 2'!AO7</f>
        <v>0</v>
      </c>
      <c r="AP7" s="834">
        <f>'Year 2'!AP7</f>
        <v>0</v>
      </c>
      <c r="AQ7" s="828"/>
    </row>
    <row r="8" spans="3:166" ht="17.25" customHeight="1">
      <c r="C8" s="47"/>
      <c r="E8" s="586" t="s">
        <v>363</v>
      </c>
      <c r="F8" s="679">
        <f>IF(Subcontracts!$F$5&gt;=4,+FacePage!$B$14,)</f>
        <v>0</v>
      </c>
      <c r="G8" s="50"/>
      <c r="H8" s="50"/>
      <c r="K8" s="50"/>
      <c r="L8" s="50"/>
      <c r="AA8" s="831"/>
      <c r="AB8" s="832" t="s">
        <v>262</v>
      </c>
      <c r="AC8" s="834">
        <f>'Year 2'!AC8</f>
        <v>58.5</v>
      </c>
      <c r="AD8" s="834">
        <f>'Year 2'!AD8</f>
        <v>58.5</v>
      </c>
      <c r="AE8" s="834">
        <f>'Year 2'!AE8</f>
        <v>58.5</v>
      </c>
      <c r="AF8" s="834">
        <f>'Year 2'!AF8</f>
        <v>58.5</v>
      </c>
      <c r="AG8" s="834">
        <f>'Year 2'!AG8</f>
        <v>58.5</v>
      </c>
      <c r="AH8" s="834">
        <f>'Year 2'!AH8</f>
        <v>59</v>
      </c>
      <c r="AI8" s="834">
        <f>'Year 2'!AI8</f>
        <v>59</v>
      </c>
      <c r="AJ8" s="834">
        <f>'Year 2'!AJ8</f>
        <v>59.5</v>
      </c>
      <c r="AK8" s="834">
        <f>'Year 2'!AK8</f>
        <v>59.5</v>
      </c>
      <c r="AL8" s="834">
        <f>'Year 2'!AL8</f>
        <v>59.5</v>
      </c>
      <c r="AM8" s="834">
        <f>'Year 2'!AM8</f>
        <v>59.5</v>
      </c>
      <c r="AN8" s="834">
        <f>'Year 2'!AN8</f>
        <v>59.5</v>
      </c>
      <c r="AO8" s="834">
        <f>'Year 2'!AO8</f>
        <v>59.5</v>
      </c>
      <c r="AP8" s="834">
        <f>'Year 2'!AP8</f>
        <v>59.5</v>
      </c>
      <c r="AQ8" s="828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</row>
    <row r="9" spans="2:43" ht="6.75" customHeight="1">
      <c r="B9" s="53"/>
      <c r="C9" s="54"/>
      <c r="D9" s="52"/>
      <c r="E9" s="52"/>
      <c r="F9" s="52"/>
      <c r="G9" s="52"/>
      <c r="H9" s="775"/>
      <c r="I9" s="50"/>
      <c r="K9" s="52"/>
      <c r="L9" s="52"/>
      <c r="AA9" s="831"/>
      <c r="AB9" s="831"/>
      <c r="AC9" s="832"/>
      <c r="AD9" s="832"/>
      <c r="AE9" s="832"/>
      <c r="AF9" s="832"/>
      <c r="AG9" s="832"/>
      <c r="AH9" s="832"/>
      <c r="AI9" s="832"/>
      <c r="AJ9" s="832"/>
      <c r="AK9" s="832"/>
      <c r="AL9" s="832"/>
      <c r="AM9" s="832"/>
      <c r="AN9" s="832"/>
      <c r="AO9" s="832"/>
      <c r="AP9" s="832"/>
      <c r="AQ9" s="828"/>
    </row>
    <row r="10" spans="2:43" ht="3" customHeight="1">
      <c r="B10" s="56"/>
      <c r="C10" s="57"/>
      <c r="D10" s="58"/>
      <c r="E10" s="50"/>
      <c r="F10" s="50"/>
      <c r="G10" s="50"/>
      <c r="H10" s="50"/>
      <c r="I10" s="55"/>
      <c r="J10" s="55"/>
      <c r="K10" s="59"/>
      <c r="L10" s="50"/>
      <c r="AA10" s="831"/>
      <c r="AB10" s="832"/>
      <c r="AC10" s="832"/>
      <c r="AD10" s="832"/>
      <c r="AE10" s="832"/>
      <c r="AF10" s="832"/>
      <c r="AG10" s="832"/>
      <c r="AH10" s="832"/>
      <c r="AI10" s="832"/>
      <c r="AJ10" s="832"/>
      <c r="AK10" s="832"/>
      <c r="AL10" s="832"/>
      <c r="AM10" s="832"/>
      <c r="AN10" s="832"/>
      <c r="AO10" s="832"/>
      <c r="AP10" s="832"/>
      <c r="AQ10" s="828"/>
    </row>
    <row r="11" spans="2:43" ht="9" customHeight="1">
      <c r="B11" s="60"/>
      <c r="C11" s="50"/>
      <c r="D11" s="50"/>
      <c r="I11" s="50"/>
      <c r="J11" s="61" t="s">
        <v>51</v>
      </c>
      <c r="K11" s="62" t="s">
        <v>52</v>
      </c>
      <c r="AA11" s="831"/>
      <c r="AB11" s="831"/>
      <c r="AC11" s="832"/>
      <c r="AD11" s="833"/>
      <c r="AE11" s="833"/>
      <c r="AF11" s="833"/>
      <c r="AG11" s="833"/>
      <c r="AH11" s="833"/>
      <c r="AI11" s="833"/>
      <c r="AJ11" s="833"/>
      <c r="AK11" s="833"/>
      <c r="AL11" s="833"/>
      <c r="AM11" s="833"/>
      <c r="AN11" s="833"/>
      <c r="AO11" s="833"/>
      <c r="AP11" s="833"/>
      <c r="AQ11" s="828"/>
    </row>
    <row r="12" spans="2:43" ht="12" customHeight="1">
      <c r="B12" s="60"/>
      <c r="C12" s="63" t="s">
        <v>53</v>
      </c>
      <c r="D12" s="50"/>
      <c r="E12" s="43"/>
      <c r="F12" s="43"/>
      <c r="G12" s="43"/>
      <c r="H12" s="43"/>
      <c r="J12" s="64"/>
      <c r="K12" s="59"/>
      <c r="AA12" s="831"/>
      <c r="AB12" s="831"/>
      <c r="AC12" s="837">
        <f>'Year 2'!AC12</f>
        <v>39814</v>
      </c>
      <c r="AD12" s="837">
        <f>'Year 2'!AD12</f>
        <v>40179</v>
      </c>
      <c r="AE12" s="837">
        <f>'Year 2'!AE12</f>
        <v>40544</v>
      </c>
      <c r="AF12" s="837">
        <f>'Year 2'!AF12</f>
        <v>40909</v>
      </c>
      <c r="AG12" s="837">
        <f>'Year 2'!AG12</f>
        <v>41275</v>
      </c>
      <c r="AH12" s="837">
        <f>'Year 2'!AH12</f>
        <v>41640</v>
      </c>
      <c r="AI12" s="837">
        <f>'Year 2'!AI12</f>
        <v>42005</v>
      </c>
      <c r="AJ12" s="837">
        <f>'Year 2'!AJ12</f>
        <v>42370</v>
      </c>
      <c r="AK12" s="837">
        <f>'Year 2'!AK12</f>
        <v>42736</v>
      </c>
      <c r="AL12" s="837">
        <f>'Year 2'!AL12</f>
        <v>43101</v>
      </c>
      <c r="AM12" s="837">
        <f>'Year 2'!AM12</f>
        <v>43466</v>
      </c>
      <c r="AN12" s="837">
        <f>'Year 2'!AN12</f>
        <v>43831</v>
      </c>
      <c r="AO12" s="837">
        <f>'Year 2'!AO12</f>
        <v>44197</v>
      </c>
      <c r="AP12" s="837">
        <f>'Year 2'!AP12</f>
        <v>44562</v>
      </c>
      <c r="AQ12" s="828"/>
    </row>
    <row r="13" spans="2:43" ht="12.75" customHeight="1">
      <c r="B13" s="60"/>
      <c r="C13" s="63" t="s">
        <v>54</v>
      </c>
      <c r="D13" s="65"/>
      <c r="E13" s="43"/>
      <c r="F13" s="43"/>
      <c r="G13" s="46"/>
      <c r="H13" s="46"/>
      <c r="J13" s="66">
        <f>IF(Subcontracts!F5&gt;=4,(EDATE('Year 3'!J13,12)),)</f>
        <v>1096</v>
      </c>
      <c r="K13" s="67">
        <f>IF(J13&gt;0,((EDATE(J13,12))-1),)</f>
        <v>1460</v>
      </c>
      <c r="L13" s="68"/>
      <c r="AA13" s="831"/>
      <c r="AB13" s="831"/>
      <c r="AC13" s="837" t="str">
        <f>'Year 2'!AC13</f>
        <v>FY09</v>
      </c>
      <c r="AD13" s="837" t="str">
        <f>'Year 2'!AD13</f>
        <v>FY10</v>
      </c>
      <c r="AE13" s="837" t="str">
        <f>'Year 2'!AE13</f>
        <v>FY11</v>
      </c>
      <c r="AF13" s="837" t="str">
        <f>'Year 2'!AF13</f>
        <v>FY12</v>
      </c>
      <c r="AG13" s="837" t="str">
        <f>'Year 2'!AG13</f>
        <v>FY13</v>
      </c>
      <c r="AH13" s="837" t="str">
        <f>'Year 2'!AH13</f>
        <v>FY14</v>
      </c>
      <c r="AI13" s="837" t="str">
        <f>'Year 2'!AI13</f>
        <v>FY15</v>
      </c>
      <c r="AJ13" s="837" t="str">
        <f>'Year 2'!AJ13</f>
        <v>FY16</v>
      </c>
      <c r="AK13" s="837" t="str">
        <f>'Year 2'!AK13</f>
        <v>FY17</v>
      </c>
      <c r="AL13" s="837" t="str">
        <f>'Year 2'!AL13</f>
        <v>FY18</v>
      </c>
      <c r="AM13" s="837" t="str">
        <f>'Year 2'!AM13</f>
        <v>FY19</v>
      </c>
      <c r="AN13" s="837" t="str">
        <f>'Year 2'!AN13</f>
        <v>FY20</v>
      </c>
      <c r="AO13" s="837" t="str">
        <f>'Year 2'!AO13</f>
        <v>FY21</v>
      </c>
      <c r="AP13" s="837" t="str">
        <f>'Year 2'!AP13</f>
        <v>FY22</v>
      </c>
      <c r="AQ13" s="828"/>
    </row>
    <row r="14" spans="2:43" ht="3.75" customHeight="1">
      <c r="B14" s="60"/>
      <c r="C14" s="50"/>
      <c r="D14" s="50"/>
      <c r="F14" s="775"/>
      <c r="G14" s="775"/>
      <c r="H14" s="775"/>
      <c r="I14" s="878"/>
      <c r="J14" s="52"/>
      <c r="K14" s="70"/>
      <c r="L14" s="52"/>
      <c r="AA14" s="831"/>
      <c r="AB14" s="831"/>
      <c r="AC14" s="831"/>
      <c r="AD14" s="831"/>
      <c r="AE14" s="831"/>
      <c r="AF14" s="831"/>
      <c r="AG14" s="831"/>
      <c r="AH14" s="831"/>
      <c r="AI14" s="831"/>
      <c r="AJ14" s="831"/>
      <c r="AK14" s="831"/>
      <c r="AL14" s="831"/>
      <c r="AM14" s="831"/>
      <c r="AN14" s="831"/>
      <c r="AO14" s="831"/>
      <c r="AP14" s="831"/>
      <c r="AQ14" s="828"/>
    </row>
    <row r="15" spans="2:43" ht="12" customHeight="1">
      <c r="B15" s="71"/>
      <c r="C15" s="872" t="s">
        <v>407</v>
      </c>
      <c r="D15" s="866"/>
      <c r="E15" s="57"/>
      <c r="F15" s="849"/>
      <c r="G15" s="50"/>
      <c r="H15" s="75"/>
      <c r="I15" s="867"/>
      <c r="J15" s="776"/>
      <c r="K15" s="850"/>
      <c r="L15" s="850"/>
      <c r="M15" s="49"/>
      <c r="N15" s="49"/>
      <c r="AA15" s="831"/>
      <c r="AB15" s="831"/>
      <c r="AC15" s="831"/>
      <c r="AD15" s="831"/>
      <c r="AE15" s="831"/>
      <c r="AF15" s="831"/>
      <c r="AG15" s="831"/>
      <c r="AH15" s="831"/>
      <c r="AI15" s="831"/>
      <c r="AJ15" s="831"/>
      <c r="AK15" s="831"/>
      <c r="AL15" s="831"/>
      <c r="AM15" s="831"/>
      <c r="AN15" s="831"/>
      <c r="AO15" s="831"/>
      <c r="AP15" s="831"/>
      <c r="AQ15" s="828"/>
    </row>
    <row r="16" spans="2:43" ht="12" customHeight="1">
      <c r="B16" s="861"/>
      <c r="C16" s="733" t="s">
        <v>395</v>
      </c>
      <c r="D16" s="116"/>
      <c r="E16" s="75"/>
      <c r="F16" s="849"/>
      <c r="G16" s="50"/>
      <c r="H16" s="75"/>
      <c r="I16" s="867"/>
      <c r="J16" s="776"/>
      <c r="K16" s="850"/>
      <c r="L16" s="850"/>
      <c r="M16" s="49"/>
      <c r="N16" s="49"/>
      <c r="AA16" s="831"/>
      <c r="AB16" s="831"/>
      <c r="AC16" s="831"/>
      <c r="AD16" s="831"/>
      <c r="AE16" s="831"/>
      <c r="AF16" s="831"/>
      <c r="AG16" s="831"/>
      <c r="AH16" s="831"/>
      <c r="AI16" s="831"/>
      <c r="AJ16" s="831"/>
      <c r="AK16" s="831"/>
      <c r="AL16" s="831"/>
      <c r="AM16" s="831"/>
      <c r="AN16" s="831"/>
      <c r="AO16" s="831"/>
      <c r="AP16" s="831"/>
      <c r="AQ16" s="828"/>
    </row>
    <row r="17" spans="2:43" ht="12" customHeight="1">
      <c r="B17" s="74" t="s">
        <v>55</v>
      </c>
      <c r="C17" s="733" t="s">
        <v>397</v>
      </c>
      <c r="D17" s="116"/>
      <c r="E17" s="75"/>
      <c r="F17" s="849"/>
      <c r="G17" s="50"/>
      <c r="H17" s="75"/>
      <c r="I17" s="867"/>
      <c r="J17" s="776"/>
      <c r="K17" s="850"/>
      <c r="L17" s="850"/>
      <c r="M17" s="49"/>
      <c r="N17" s="49"/>
      <c r="AA17" s="831"/>
      <c r="AB17" s="831"/>
      <c r="AC17" s="831"/>
      <c r="AD17" s="831"/>
      <c r="AE17" s="831"/>
      <c r="AF17" s="831"/>
      <c r="AG17" s="831"/>
      <c r="AH17" s="831"/>
      <c r="AI17" s="831"/>
      <c r="AJ17" s="831"/>
      <c r="AK17" s="831"/>
      <c r="AL17" s="831"/>
      <c r="AM17" s="831"/>
      <c r="AN17" s="831"/>
      <c r="AO17" s="831"/>
      <c r="AP17" s="831"/>
      <c r="AQ17" s="828"/>
    </row>
    <row r="18" spans="2:57" ht="10.5" customHeight="1">
      <c r="B18" s="877" t="s">
        <v>60</v>
      </c>
      <c r="C18" s="858"/>
      <c r="D18" s="853"/>
      <c r="E18" s="870" t="s">
        <v>61</v>
      </c>
      <c r="F18" s="1036" t="s">
        <v>340</v>
      </c>
      <c r="G18" s="1036" t="s">
        <v>341</v>
      </c>
      <c r="H18" s="1036" t="s">
        <v>400</v>
      </c>
      <c r="I18" s="1059" t="s">
        <v>58</v>
      </c>
      <c r="J18" s="857" t="s">
        <v>62</v>
      </c>
      <c r="K18" s="857" t="s">
        <v>55</v>
      </c>
      <c r="L18" s="858"/>
      <c r="M18" s="49"/>
      <c r="N18" s="49"/>
      <c r="AA18" s="831"/>
      <c r="AB18" s="831"/>
      <c r="AC18" s="831"/>
      <c r="AD18" s="831"/>
      <c r="AE18" s="831"/>
      <c r="AF18" s="831"/>
      <c r="AG18" s="831"/>
      <c r="AH18" s="831"/>
      <c r="AI18" s="831"/>
      <c r="AJ18" s="838" t="s">
        <v>20</v>
      </c>
      <c r="AK18" s="838" t="s">
        <v>20</v>
      </c>
      <c r="AL18" s="838" t="s">
        <v>20</v>
      </c>
      <c r="AM18" s="838" t="s">
        <v>20</v>
      </c>
      <c r="AN18" s="831"/>
      <c r="AO18" s="831"/>
      <c r="AP18" s="831"/>
      <c r="AQ18" s="828"/>
      <c r="BE18" s="79"/>
    </row>
    <row r="19" spans="2:57" ht="12" customHeight="1">
      <c r="B19" s="879" t="s">
        <v>63</v>
      </c>
      <c r="C19" s="80" t="s">
        <v>64</v>
      </c>
      <c r="D19" s="69"/>
      <c r="E19" s="865" t="s">
        <v>65</v>
      </c>
      <c r="F19" s="1037"/>
      <c r="G19" s="1037"/>
      <c r="H19" s="1037"/>
      <c r="I19" s="1060"/>
      <c r="J19" s="859" t="s">
        <v>66</v>
      </c>
      <c r="K19" s="859" t="s">
        <v>67</v>
      </c>
      <c r="L19" s="80" t="s">
        <v>68</v>
      </c>
      <c r="M19" s="49"/>
      <c r="N19" s="49"/>
      <c r="AA19" s="831"/>
      <c r="AB19" s="831"/>
      <c r="AC19" s="831"/>
      <c r="AD19" s="831"/>
      <c r="AE19" s="831"/>
      <c r="AF19" s="831"/>
      <c r="AG19" s="831"/>
      <c r="AH19" s="831"/>
      <c r="AI19" s="831"/>
      <c r="AJ19" s="838" t="s">
        <v>383</v>
      </c>
      <c r="AK19" s="838" t="s">
        <v>389</v>
      </c>
      <c r="AL19" s="838" t="s">
        <v>390</v>
      </c>
      <c r="AM19" s="838" t="s">
        <v>391</v>
      </c>
      <c r="AN19" s="831"/>
      <c r="AO19" s="831"/>
      <c r="AP19" s="831"/>
      <c r="AQ19" s="828"/>
      <c r="BE19" s="79"/>
    </row>
    <row r="20" spans="2:57" ht="13.5" customHeight="1">
      <c r="B20" s="876"/>
      <c r="C20" s="1018">
        <f>IF(Subcontracts!$F$5=0,"",IF(Subcontracts!$F$5&gt;=4,+'Year 3'!C20:D21,""))</f>
        <v>0</v>
      </c>
      <c r="D20" s="1030"/>
      <c r="E20" s="1056" t="s">
        <v>403</v>
      </c>
      <c r="F20" s="1062">
        <f>IF(Subcontracts!$F$5=0,"",IF(Subcontracts!$F$5&gt;=4,+'Year 3'!F20:F21,""))</f>
        <v>0</v>
      </c>
      <c r="G20" s="1062">
        <f>IF(Subcontracts!$F$5=0,"",IF(Subcontracts!$F$5&gt;=4,+'Year 3'!G20:G21,""))</f>
        <v>0</v>
      </c>
      <c r="H20" s="1064">
        <f>IF(Subcontracts!$F$5=0,"",IF(Subcontracts!$F$5&gt;=4,+'Year 3'!H20:H21,""))</f>
        <v>0</v>
      </c>
      <c r="I20" s="86"/>
      <c r="J20" s="87"/>
      <c r="K20" s="87"/>
      <c r="L20" s="88"/>
      <c r="M20" s="49"/>
      <c r="N20" s="49"/>
      <c r="AA20" s="831"/>
      <c r="AB20" s="831"/>
      <c r="AC20" s="831"/>
      <c r="AD20" s="831"/>
      <c r="AE20" s="831"/>
      <c r="AF20" s="831"/>
      <c r="AG20" s="831"/>
      <c r="AH20" s="831"/>
      <c r="AI20" s="831"/>
      <c r="AJ20" s="831"/>
      <c r="AK20" s="831"/>
      <c r="AL20" s="831"/>
      <c r="AM20" s="831"/>
      <c r="AN20" s="831"/>
      <c r="AO20" s="831"/>
      <c r="AP20" s="831"/>
      <c r="AQ20" s="828"/>
      <c r="BE20" s="79"/>
    </row>
    <row r="21" spans="2:57" ht="13.5" customHeight="1">
      <c r="B21" s="605">
        <f>IF(AND(Subcontracts!$Z$50=1),AJ21,IF(AND(Subcontracts!$Z$50=2),AK21,IF(AND(Subcontracts!$Z$50=3),AL21,IF(AND(Subcontracts!$Z$50=4),AM21,0))))</f>
        <v>0</v>
      </c>
      <c r="C21" s="1020"/>
      <c r="D21" s="1031"/>
      <c r="E21" s="1057"/>
      <c r="F21" s="1063"/>
      <c r="G21" s="1063"/>
      <c r="H21" s="1063"/>
      <c r="I21" s="90">
        <f>IF(Subcontracts!$F$5&gt;=4,+'Year 3'!I21+('Year 3'!I21*('Year 3'!$D$2/100)),)</f>
        <v>0</v>
      </c>
      <c r="J21" s="91">
        <f>IF(Subcontracts!$F$5&gt;=4,(((I21/12)*F20)+((I21/9)*G20)+((I21/3)*H20)),)</f>
        <v>0</v>
      </c>
      <c r="K21" s="92">
        <f>(B21/100)*J21</f>
        <v>0</v>
      </c>
      <c r="L21" s="93">
        <f>J21+K21</f>
        <v>0</v>
      </c>
      <c r="M21" s="94"/>
      <c r="N21" s="94"/>
      <c r="O21" s="95"/>
      <c r="P21" s="95"/>
      <c r="Q21" s="95"/>
      <c r="AA21" s="831"/>
      <c r="AB21" s="839"/>
      <c r="AC21" s="831"/>
      <c r="AD21" s="840"/>
      <c r="AE21" s="840"/>
      <c r="AF21" s="840"/>
      <c r="AG21" s="840"/>
      <c r="AH21" s="840"/>
      <c r="AI21" s="840"/>
      <c r="AJ21" s="841">
        <f>IF(AND('Year 1'!$B21=$AD$25),$AG$25,IF(AND('Year 1'!$B21=$AD$26),$AG$26,IF(AND('Year 1'!$B21=$AD$27),$AG$27,IF(AND('Year 1'!$B21=$AD$28),$AG$28,IF(AND('Year 1'!$B21=$AD$29),$AG$29,0)))))</f>
        <v>0</v>
      </c>
      <c r="AK21" s="841">
        <f>IF(AND('Year 1'!$B21=$AD$37),$AG$37,IF(AND('Year 1'!$B21=$AD$38),$AG$38,IF(AND('Year 1'!$B21=$AD$39),$AG$39,IF(AND('Year 1'!$B21=$AD$40),$AG$40,IF(AND('Year 1'!$B21=$AD$41),$AG$41,0)))))</f>
        <v>0</v>
      </c>
      <c r="AL21" s="841">
        <f>IF(AND('Year 1'!$B21=$AD$48),$AG$48,IF(AND('Year 1'!$B21=$AD$49),$AG$49,IF(AND('Year 1'!$B21=$AD$50),$AG$50,IF(AND('Year 1'!$B21=$AD$51),$AG$51,IF(AND('Year 1'!$B21=$AD$52),$AG$52,0)))))</f>
        <v>0</v>
      </c>
      <c r="AM21" s="841">
        <f>IF(AND('Year 1'!$B21=$AD$60),$AG$60,IF(AND('Year 1'!$B21=$AD$61),$AG$61,IF(AND('Year 1'!$B21=$AD$62),$AG$62,IF(AND('Year 1'!$B21=$AD$63),$AG$63,IF(AND('Year 1'!$B21=$AD$64),$AG$64,0)))))</f>
        <v>0</v>
      </c>
      <c r="AN21" s="840"/>
      <c r="AO21" s="840"/>
      <c r="AP21" s="831"/>
      <c r="AQ21" s="828"/>
      <c r="BE21" s="95"/>
    </row>
    <row r="22" spans="2:57" ht="13.5" customHeight="1">
      <c r="B22" s="606"/>
      <c r="C22" s="1018">
        <f>IF(Subcontracts!$F$5=0,"",IF(Subcontracts!$F$5&gt;=4,+'Year 3'!C22:D23,""))</f>
        <v>0</v>
      </c>
      <c r="D22" s="1030"/>
      <c r="E22" s="1046">
        <f>IF(Subcontracts!$F$5=0,"",IF(Subcontracts!$F$5&gt;=4,+'Year 3'!E22:E23,""))</f>
        <v>0</v>
      </c>
      <c r="F22" s="1062">
        <f>IF(Subcontracts!$F$5=0,"",IF(Subcontracts!$F$5&gt;=4,+'Year 3'!F22:F23,""))</f>
        <v>0</v>
      </c>
      <c r="G22" s="1062">
        <f>IF(Subcontracts!$F$5=0,"",IF(Subcontracts!$F$5&gt;=4,+'Year 3'!G22:G23,""))</f>
        <v>0</v>
      </c>
      <c r="H22" s="1064">
        <f>IF(Subcontracts!$F$5=0,"",IF(Subcontracts!$F$5&gt;=4,+'Year 3'!H22:H23,""))</f>
        <v>0</v>
      </c>
      <c r="I22" s="97"/>
      <c r="J22" s="87"/>
      <c r="K22" s="87"/>
      <c r="L22" s="88"/>
      <c r="M22" s="94"/>
      <c r="N22" s="94"/>
      <c r="O22" s="95"/>
      <c r="P22" s="95"/>
      <c r="Q22" s="95"/>
      <c r="AA22" s="831"/>
      <c r="AB22" s="843" t="str">
        <f>'Year 2'!AB22</f>
        <v>number 1</v>
      </c>
      <c r="AC22" s="831"/>
      <c r="AD22" s="831"/>
      <c r="AE22" s="831"/>
      <c r="AF22" s="831"/>
      <c r="AG22" s="831"/>
      <c r="AH22" s="831"/>
      <c r="AI22" s="831"/>
      <c r="AJ22" s="841">
        <f>IF(AND('Year 1'!$B22=$AD$25),$AG$25,IF(AND('Year 1'!$B22=$AD$26),$AG$26,IF(AND('Year 1'!$B22=$AD$27),$AG$27,IF(AND('Year 1'!$B22=$AD$28),$AG$28,IF(AND('Year 1'!$B22=$AD$29),$AG$29,0)))))</f>
        <v>0</v>
      </c>
      <c r="AK22" s="841">
        <f>IF(AND('Year 1'!$B22=$AD$37),$AG$37,IF(AND('Year 1'!$B22=$AD$38),$AG$38,IF(AND('Year 1'!$B22=$AD$39),$AG$39,IF(AND('Year 1'!$B22=$AD$40),$AG$40,IF(AND('Year 1'!$B22=$AD$41),$AG$41,0)))))</f>
        <v>0</v>
      </c>
      <c r="AL22" s="841">
        <f>IF(AND('Year 1'!$B22=$AD$48),$AG$48,IF(AND('Year 1'!$B22=$AD$49),$AG$49,IF(AND('Year 1'!$B22=$AD$50),$AG$50,IF(AND('Year 1'!$B22=$AD$51),$AG$51,IF(AND('Year 1'!$B22=$AD$52),$AG$52,0)))))</f>
        <v>0</v>
      </c>
      <c r="AM22" s="841">
        <f>IF(AND('Year 1'!$B22=$AD$60),$AG$60,IF(AND('Year 1'!$B22=$AD$61),$AG$61,IF(AND('Year 1'!$B22=$AD$62),$AG$62,IF(AND('Year 1'!$B22=$AD$63),$AG$63,IF(AND('Year 1'!$B22=$AD$64),$AG$64,0)))))</f>
        <v>0</v>
      </c>
      <c r="AN22" s="831"/>
      <c r="AO22" s="831"/>
      <c r="AP22" s="831"/>
      <c r="AQ22" s="828"/>
      <c r="BE22" s="95"/>
    </row>
    <row r="23" spans="2:57" ht="13.5" customHeight="1">
      <c r="B23" s="605">
        <f>IF(AND(Subcontracts!$Z$50=1),AJ23,IF(AND(Subcontracts!$Z$50=2),AK23,IF(AND(Subcontracts!$Z$50=3),AL23,IF(AND(Subcontracts!$Z$50=4),AM23,0))))</f>
        <v>0</v>
      </c>
      <c r="C23" s="1026"/>
      <c r="D23" s="1027"/>
      <c r="E23" s="1047"/>
      <c r="F23" s="1063"/>
      <c r="G23" s="1063"/>
      <c r="H23" s="1063"/>
      <c r="I23" s="99">
        <f>IF(Subcontracts!$F$5&gt;=4,+'Year 3'!I23+('Year 3'!I23*('Year 3'!$D$2/100)),)</f>
        <v>0</v>
      </c>
      <c r="J23" s="91">
        <f>IF(Subcontracts!$F$5&gt;=4,(((I23/12)*F22)+((I23/9)*G22)+((I23/3)*H22)),)</f>
        <v>0</v>
      </c>
      <c r="K23" s="92">
        <f>(B23/100)*J23</f>
        <v>0</v>
      </c>
      <c r="L23" s="93">
        <f>J23+K23</f>
        <v>0</v>
      </c>
      <c r="M23" s="94"/>
      <c r="N23" s="94"/>
      <c r="O23" s="95"/>
      <c r="P23" s="95"/>
      <c r="Q23" s="95"/>
      <c r="AA23" s="831"/>
      <c r="AB23" s="843" t="str">
        <f>'Year 2'!AB23</f>
        <v>year 1 start between 1/1/16 - 12/31/16</v>
      </c>
      <c r="AC23" s="831"/>
      <c r="AD23" s="840"/>
      <c r="AE23" s="840"/>
      <c r="AF23" s="840"/>
      <c r="AG23" s="840"/>
      <c r="AH23" s="840"/>
      <c r="AI23" s="840"/>
      <c r="AJ23" s="841">
        <f>IF(AND('Year 1'!$B23=$AD$25),$AG$25,IF(AND('Year 1'!$B23=$AD$26),$AG$26,IF(AND('Year 1'!$B23=$AD$27),$AG$27,IF(AND('Year 1'!$B23=$AD$28),$AG$28,IF(AND('Year 1'!$B23=$AD$29),$AG$29,0)))))</f>
        <v>0</v>
      </c>
      <c r="AK23" s="841">
        <f>IF(AND('Year 1'!$B23=$AD$37),$AG$37,IF(AND('Year 1'!$B23=$AD$38),$AG$38,IF(AND('Year 1'!$B23=$AD$39),$AG$39,IF(AND('Year 1'!$B23=$AD$40),$AG$40,IF(AND('Year 1'!$B23=$AD$41),$AG$41,0)))))</f>
        <v>0</v>
      </c>
      <c r="AL23" s="841">
        <f>IF(AND('Year 1'!$B23=$AD$48),$AG$48,IF(AND('Year 1'!$B23=$AD$49),$AG$49,IF(AND('Year 1'!$B23=$AD$50),$AG$50,IF(AND('Year 1'!$B23=$AD$51),$AG$51,IF(AND('Year 1'!$B23=$AD$52),$AG$52,0)))))</f>
        <v>0</v>
      </c>
      <c r="AM23" s="841">
        <f>IF(AND('Year 1'!$B23=$AD$60),$AG$60,IF(AND('Year 1'!$B23=$AD$61),$AG$61,IF(AND('Year 1'!$B23=$AD$62),$AG$62,IF(AND('Year 1'!$B23=$AD$63),$AG$63,IF(AND('Year 1'!$B23=$AD$64),$AG$64,0)))))</f>
        <v>0</v>
      </c>
      <c r="AN23" s="840"/>
      <c r="AO23" s="840"/>
      <c r="AP23" s="831"/>
      <c r="BE23" s="95"/>
    </row>
    <row r="24" spans="2:57" ht="13.5" customHeight="1">
      <c r="B24" s="606"/>
      <c r="C24" s="1022">
        <f>IF(Subcontracts!$F$5=0,"",IF(Subcontracts!$F$5&gt;=4,+'Year 3'!C24:D25,""))</f>
        <v>0</v>
      </c>
      <c r="D24" s="1025"/>
      <c r="E24" s="1048">
        <f>IF(Subcontracts!$F$5=0,"",IF(Subcontracts!$F$5&gt;=4,+'Year 3'!E24:E25,""))</f>
        <v>0</v>
      </c>
      <c r="F24" s="1062">
        <f>IF(Subcontracts!$F$5=0,"",IF(Subcontracts!$F$5&gt;=4,+'Year 3'!F24:F25,""))</f>
        <v>0</v>
      </c>
      <c r="G24" s="1062">
        <f>IF(Subcontracts!$F$5=0,"",IF(Subcontracts!$F$5&gt;=4,+'Year 3'!G24:G25,""))</f>
        <v>0</v>
      </c>
      <c r="H24" s="1064">
        <f>IF(Subcontracts!$F$5=0,"",IF(Subcontracts!$F$5&gt;=4,+'Year 3'!H24:H25,""))</f>
        <v>0</v>
      </c>
      <c r="I24" s="100"/>
      <c r="J24" s="87"/>
      <c r="K24" s="87"/>
      <c r="L24" s="88"/>
      <c r="M24" s="94"/>
      <c r="N24" s="94"/>
      <c r="O24" s="95"/>
      <c r="P24" s="95"/>
      <c r="Q24" s="95"/>
      <c r="AA24" s="831"/>
      <c r="AB24" s="843">
        <f>'Year 2'!AB24</f>
        <v>0</v>
      </c>
      <c r="AC24" s="831"/>
      <c r="AD24" s="832" t="str">
        <f>'Year 2'!AD24</f>
        <v>year 1</v>
      </c>
      <c r="AE24" s="832" t="str">
        <f>'Year 2'!AE24</f>
        <v>year 2</v>
      </c>
      <c r="AF24" s="832" t="str">
        <f>'Year 2'!AF24</f>
        <v>year 3</v>
      </c>
      <c r="AG24" s="832" t="str">
        <f>'Year 2'!AG24</f>
        <v>year 4</v>
      </c>
      <c r="AH24" s="832" t="str">
        <f>'Year 2'!AH24</f>
        <v>year 5</v>
      </c>
      <c r="AI24" s="831"/>
      <c r="AJ24" s="841">
        <f>IF(AND('Year 1'!$B24=$AD$25),$AG$25,IF(AND('Year 1'!$B24=$AD$26),$AG$26,IF(AND('Year 1'!$B24=$AD$27),$AG$27,IF(AND('Year 1'!$B24=$AD$28),$AG$28,IF(AND('Year 1'!$B24=$AD$29),$AG$29,0)))))</f>
        <v>0</v>
      </c>
      <c r="AK24" s="841">
        <f>IF(AND('Year 1'!$B24=$AD$37),$AG$37,IF(AND('Year 1'!$B24=$AD$38),$AG$38,IF(AND('Year 1'!$B24=$AD$39),$AG$39,IF(AND('Year 1'!$B24=$AD$40),$AG$40,IF(AND('Year 1'!$B24=$AD$41),$AG$41,0)))))</f>
        <v>0</v>
      </c>
      <c r="AL24" s="841">
        <f>IF(AND('Year 1'!$B24=$AD$48),$AG$48,IF(AND('Year 1'!$B24=$AD$49),$AG$49,IF(AND('Year 1'!$B24=$AD$50),$AG$50,IF(AND('Year 1'!$B24=$AD$51),$AG$51,IF(AND('Year 1'!$B24=$AD$52),$AG$52,0)))))</f>
        <v>0</v>
      </c>
      <c r="AM24" s="841">
        <f>IF(AND('Year 1'!$B24=$AD$60),$AG$60,IF(AND('Year 1'!$B24=$AD$61),$AG$61,IF(AND('Year 1'!$B24=$AD$62),$AG$62,IF(AND('Year 1'!$B24=$AD$63),$AG$63,IF(AND('Year 1'!$B24=$AD$64),$AG$64,0)))))</f>
        <v>0</v>
      </c>
      <c r="AN24" s="831"/>
      <c r="AO24" s="831"/>
      <c r="AP24" s="828"/>
      <c r="BE24" s="95"/>
    </row>
    <row r="25" spans="2:57" ht="13.5" customHeight="1">
      <c r="B25" s="605">
        <f>IF(AND(Subcontracts!$Z$50=1),AJ25,IF(AND(Subcontracts!$Z$50=2),AK25,IF(AND(Subcontracts!$Z$50=3),AL25,IF(AND(Subcontracts!$Z$50=4),AM25,0))))</f>
        <v>0</v>
      </c>
      <c r="C25" s="1026"/>
      <c r="D25" s="1027"/>
      <c r="E25" s="1049"/>
      <c r="F25" s="1063"/>
      <c r="G25" s="1063"/>
      <c r="H25" s="1063"/>
      <c r="I25" s="90">
        <f>IF(Subcontracts!$F$5&gt;=4,+'Year 3'!I25+('Year 3'!I25*('Year 3'!$D$2/100)),)</f>
        <v>0</v>
      </c>
      <c r="J25" s="91">
        <f>IF(Subcontracts!$F$5&gt;=4,(((I25/12)*F24)+((I25/9)*G24)+((I25/3)*H24)),)</f>
        <v>0</v>
      </c>
      <c r="K25" s="92">
        <f>(B25/100)*J25</f>
        <v>0</v>
      </c>
      <c r="L25" s="93">
        <f>J25+K25</f>
        <v>0</v>
      </c>
      <c r="M25" s="94"/>
      <c r="N25" s="94"/>
      <c r="O25" s="95"/>
      <c r="P25" s="95"/>
      <c r="Q25" s="95"/>
      <c r="AA25" s="831"/>
      <c r="AB25" s="843" t="str">
        <f>'Year 2'!AB25</f>
        <v>RF</v>
      </c>
      <c r="AC25" s="831"/>
      <c r="AD25" s="840">
        <f>'Year 2'!AD25</f>
        <v>45.5</v>
      </c>
      <c r="AE25" s="840">
        <f>'Year 2'!AE25</f>
        <v>46.5</v>
      </c>
      <c r="AF25" s="840">
        <f>'Year 2'!AF25</f>
        <v>47.5</v>
      </c>
      <c r="AG25" s="840">
        <f>'Year 2'!AG25</f>
        <v>49</v>
      </c>
      <c r="AH25" s="840">
        <f>'Year 2'!AH25</f>
        <v>49</v>
      </c>
      <c r="AI25" s="840"/>
      <c r="AJ25" s="841">
        <f>IF(AND('Year 1'!$B25=$AD$25),$AG$25,IF(AND('Year 1'!$B25=$AD$26),$AG$26,IF(AND('Year 1'!$B25=$AD$27),$AG$27,IF(AND('Year 1'!$B25=$AD$28),$AG$28,IF(AND('Year 1'!$B25=$AD$29),$AG$29,0)))))</f>
        <v>0</v>
      </c>
      <c r="AK25" s="841">
        <f>IF(AND('Year 1'!$B25=$AD$37),$AG$37,IF(AND('Year 1'!$B25=$AD$38),$AG$38,IF(AND('Year 1'!$B25=$AD$39),$AG$39,IF(AND('Year 1'!$B25=$AD$40),$AG$40,IF(AND('Year 1'!$B25=$AD$41),$AG$41,0)))))</f>
        <v>0</v>
      </c>
      <c r="AL25" s="841">
        <f>IF(AND('Year 1'!$B25=$AD$48),$AG$48,IF(AND('Year 1'!$B25=$AD$49),$AG$49,IF(AND('Year 1'!$B25=$AD$50),$AG$50,IF(AND('Year 1'!$B25=$AD$51),$AG$51,IF(AND('Year 1'!$B25=$AD$52),$AG$52,0)))))</f>
        <v>0</v>
      </c>
      <c r="AM25" s="841">
        <f>IF(AND('Year 1'!$B25=$AD$60),$AG$60,IF(AND('Year 1'!$B25=$AD$61),$AG$61,IF(AND('Year 1'!$B25=$AD$62),$AG$62,IF(AND('Year 1'!$B25=$AD$63),$AG$63,IF(AND('Year 1'!$B25=$AD$64),$AG$64,0)))))</f>
        <v>0</v>
      </c>
      <c r="AN25" s="840"/>
      <c r="AO25" s="840"/>
      <c r="AP25" s="828"/>
      <c r="BE25" s="95"/>
    </row>
    <row r="26" spans="2:57" ht="13.5" customHeight="1">
      <c r="B26" s="606"/>
      <c r="C26" s="1022">
        <f>IF(Subcontracts!$F$5=0,"",IF(Subcontracts!$F$5&gt;=4,+'Year 3'!C26:D27,""))</f>
        <v>0</v>
      </c>
      <c r="D26" s="1023"/>
      <c r="E26" s="1048">
        <f>IF(Subcontracts!$F$5=0,"",IF(Subcontracts!$F$5&gt;=4,+'Year 3'!E26:E27,""))</f>
        <v>0</v>
      </c>
      <c r="F26" s="1062">
        <f>IF(Subcontracts!$F$5=0,"",IF(Subcontracts!$F$5&gt;=4,+'Year 3'!F26:F27,""))</f>
        <v>0</v>
      </c>
      <c r="G26" s="1062">
        <f>IF(Subcontracts!$F$5=0,"",IF(Subcontracts!$F$5&gt;=4,+'Year 3'!G26:G27,""))</f>
        <v>0</v>
      </c>
      <c r="H26" s="1064">
        <f>IF(Subcontracts!$F$5=0,"",IF(Subcontracts!$F$5&gt;=4,+'Year 3'!H26:H27,""))</f>
        <v>0</v>
      </c>
      <c r="I26" s="97"/>
      <c r="J26" s="87"/>
      <c r="K26" s="87"/>
      <c r="L26" s="88"/>
      <c r="M26" s="94"/>
      <c r="N26" s="94"/>
      <c r="O26" s="95"/>
      <c r="P26" s="95"/>
      <c r="Q26" s="95"/>
      <c r="AA26" s="831"/>
      <c r="AB26" s="843" t="str">
        <f>'Year 2'!AB26</f>
        <v>IFR Summer</v>
      </c>
      <c r="AC26" s="831"/>
      <c r="AD26" s="840">
        <f>'Year 2'!AD26</f>
        <v>14</v>
      </c>
      <c r="AE26" s="840">
        <f>'Year 2'!AE26</f>
        <v>14</v>
      </c>
      <c r="AF26" s="840">
        <f>'Year 2'!AF26</f>
        <v>15</v>
      </c>
      <c r="AG26" s="840">
        <f>'Year 2'!AG26</f>
        <v>15</v>
      </c>
      <c r="AH26" s="840">
        <f>'Year 2'!AH26</f>
        <v>15</v>
      </c>
      <c r="AI26" s="831"/>
      <c r="AJ26" s="841">
        <f>IF(AND('Year 1'!$B26=$AD$25),$AG$25,IF(AND('Year 1'!$B26=$AD$26),$AG$26,IF(AND('Year 1'!$B26=$AD$27),$AG$27,IF(AND('Year 1'!$B26=$AD$28),$AG$28,IF(AND('Year 1'!$B26=$AD$29),$AG$29,0)))))</f>
        <v>0</v>
      </c>
      <c r="AK26" s="841">
        <f>IF(AND('Year 1'!$B26=$AD$37),$AG$37,IF(AND('Year 1'!$B26=$AD$38),$AG$38,IF(AND('Year 1'!$B26=$AD$39),$AG$39,IF(AND('Year 1'!$B26=$AD$40),$AG$40,IF(AND('Year 1'!$B26=$AD$41),$AG$41,0)))))</f>
        <v>0</v>
      </c>
      <c r="AL26" s="841">
        <f>IF(AND('Year 1'!$B26=$AD$48),$AG$48,IF(AND('Year 1'!$B26=$AD$49),$AG$49,IF(AND('Year 1'!$B26=$AD$50),$AG$50,IF(AND('Year 1'!$B26=$AD$51),$AG$51,IF(AND('Year 1'!$B26=$AD$52),$AG$52,0)))))</f>
        <v>0</v>
      </c>
      <c r="AM26" s="841">
        <f>IF(AND('Year 1'!$B26=$AD$60),$AG$60,IF(AND('Year 1'!$B26=$AD$61),$AG$61,IF(AND('Year 1'!$B26=$AD$62),$AG$62,IF(AND('Year 1'!$B26=$AD$63),$AG$63,IF(AND('Year 1'!$B26=$AD$64),$AG$64,0)))))</f>
        <v>0</v>
      </c>
      <c r="AN26" s="831"/>
      <c r="AO26" s="831"/>
      <c r="AP26" s="828"/>
      <c r="BE26" s="95"/>
    </row>
    <row r="27" spans="2:57" ht="13.5" customHeight="1">
      <c r="B27" s="605">
        <f>IF(AND(Subcontracts!$Z$50=1),AJ27,IF(AND(Subcontracts!$Z$50=2),AK27,IF(AND(Subcontracts!$Z$50=3),AL27,IF(AND(Subcontracts!$Z$50=4),AM27,0))))</f>
        <v>0</v>
      </c>
      <c r="C27" s="1024"/>
      <c r="D27" s="1024"/>
      <c r="E27" s="1047"/>
      <c r="F27" s="1063"/>
      <c r="G27" s="1063"/>
      <c r="H27" s="1063"/>
      <c r="I27" s="90">
        <f>IF(Subcontracts!$F$5&gt;=4,+'Year 3'!I27+('Year 3'!I27*('Year 3'!$D$2/100)),)</f>
        <v>0</v>
      </c>
      <c r="J27" s="91">
        <f>IF(Subcontracts!$F$5&gt;=4,(((I27/12)*F26)+((I27/9)*G26)+((I27/3)*H26)),)</f>
        <v>0</v>
      </c>
      <c r="K27" s="92">
        <f>(B27/100)*J27</f>
        <v>0</v>
      </c>
      <c r="L27" s="93">
        <f>J27+K27</f>
        <v>0</v>
      </c>
      <c r="M27" s="94"/>
      <c r="N27" s="94"/>
      <c r="O27" s="95"/>
      <c r="P27" s="95"/>
      <c r="Q27" s="95"/>
      <c r="AA27" s="831"/>
      <c r="AB27" s="843" t="str">
        <f>'Year 2'!AB27</f>
        <v>Graduate</v>
      </c>
      <c r="AC27" s="831"/>
      <c r="AD27" s="840">
        <f>'Year 2'!AD27</f>
        <v>14</v>
      </c>
      <c r="AE27" s="840">
        <f>'Year 2'!AE27</f>
        <v>15</v>
      </c>
      <c r="AF27" s="840">
        <f>'Year 2'!AF27</f>
        <v>16</v>
      </c>
      <c r="AG27" s="840">
        <f>'Year 2'!AG27</f>
        <v>17</v>
      </c>
      <c r="AH27" s="840">
        <f>'Year 2'!AH27</f>
        <v>17</v>
      </c>
      <c r="AI27" s="840"/>
      <c r="AJ27" s="841">
        <f>IF(AND('Year 1'!$B27=$AD$25),$AG$25,IF(AND('Year 1'!$B27=$AD$26),$AG$26,IF(AND('Year 1'!$B27=$AD$27),$AG$27,IF(AND('Year 1'!$B27=$AD$28),$AG$28,IF(AND('Year 1'!$B27=$AD$29),$AG$29,0)))))</f>
        <v>0</v>
      </c>
      <c r="AK27" s="841">
        <f>IF(AND('Year 1'!$B27=$AD$37),$AG$37,IF(AND('Year 1'!$B27=$AD$38),$AG$38,IF(AND('Year 1'!$B27=$AD$39),$AG$39,IF(AND('Year 1'!$B27=$AD$40),$AG$40,IF(AND('Year 1'!$B27=$AD$41),$AG$41,0)))))</f>
        <v>0</v>
      </c>
      <c r="AL27" s="841">
        <f>IF(AND('Year 1'!$B27=$AD$48),$AG$48,IF(AND('Year 1'!$B27=$AD$49),$AG$49,IF(AND('Year 1'!$B27=$AD$50),$AG$50,IF(AND('Year 1'!$B27=$AD$51),$AG$51,IF(AND('Year 1'!$B27=$AD$52),$AG$52,0)))))</f>
        <v>0</v>
      </c>
      <c r="AM27" s="841">
        <f>IF(AND('Year 1'!$B27=$AD$60),$AG$60,IF(AND('Year 1'!$B27=$AD$61),$AG$61,IF(AND('Year 1'!$B27=$AD$62),$AG$62,IF(AND('Year 1'!$B27=$AD$63),$AG$63,IF(AND('Year 1'!$B27=$AD$64),$AG$64,0)))))</f>
        <v>0</v>
      </c>
      <c r="AN27" s="840"/>
      <c r="AO27" s="840"/>
      <c r="AP27" s="828"/>
      <c r="BE27" s="95"/>
    </row>
    <row r="28" spans="2:57" ht="13.5" customHeight="1">
      <c r="B28" s="606"/>
      <c r="C28" s="1022">
        <f>IF(Subcontracts!$F$5=0,"",IF(Subcontracts!$F$5&gt;=4,+'Year 3'!C28:D29,""))</f>
        <v>0</v>
      </c>
      <c r="D28" s="1025"/>
      <c r="E28" s="1042">
        <f>IF(Subcontracts!$F$5=0,"",IF(Subcontracts!$F$5&gt;=4,+'Year 3'!E28:E29,""))</f>
        <v>0</v>
      </c>
      <c r="F28" s="1062">
        <f>IF(Subcontracts!$F$5=0,"",IF(Subcontracts!$F$5&gt;=4,+'Year 3'!F28:F29,""))</f>
        <v>0</v>
      </c>
      <c r="G28" s="1062">
        <f>IF(Subcontracts!$F$5=0,"",IF(Subcontracts!$F$5&gt;=4,+'Year 3'!G28:G29,""))</f>
        <v>0</v>
      </c>
      <c r="H28" s="1064">
        <f>IF(Subcontracts!$F$5=0,"",IF(Subcontracts!$F$5&gt;=4,+'Year 3'!H28:H29,""))</f>
        <v>0</v>
      </c>
      <c r="I28" s="97"/>
      <c r="J28" s="87"/>
      <c r="K28" s="87"/>
      <c r="L28" s="88"/>
      <c r="M28" s="94"/>
      <c r="N28" s="94"/>
      <c r="O28" s="95"/>
      <c r="P28" s="95"/>
      <c r="Q28" s="95"/>
      <c r="AA28" s="831"/>
      <c r="AB28" s="843" t="str">
        <f>'Year 2'!AB28</f>
        <v>Undergrad</v>
      </c>
      <c r="AC28" s="831"/>
      <c r="AD28" s="840">
        <f>'Year 2'!AD28</f>
        <v>5</v>
      </c>
      <c r="AE28" s="840">
        <f>'Year 2'!AE28</f>
        <v>5</v>
      </c>
      <c r="AF28" s="840">
        <f>'Year 2'!AF28</f>
        <v>5</v>
      </c>
      <c r="AG28" s="840">
        <f>'Year 2'!AG28</f>
        <v>5</v>
      </c>
      <c r="AH28" s="840">
        <f>'Year 2'!AH28</f>
        <v>5</v>
      </c>
      <c r="AI28" s="831"/>
      <c r="AJ28" s="841">
        <f>IF(AND('Year 1'!$B28=$AD$25),$AG$25,IF(AND('Year 1'!$B28=$AD$26),$AG$26,IF(AND('Year 1'!$B28=$AD$27),$AG$27,IF(AND('Year 1'!$B28=$AD$28),$AG$28,IF(AND('Year 1'!$B28=$AD$29),$AG$29,0)))))</f>
        <v>0</v>
      </c>
      <c r="AK28" s="841">
        <f>IF(AND('Year 1'!$B28=$AD$37),$AG$37,IF(AND('Year 1'!$B28=$AD$38),$AG$38,IF(AND('Year 1'!$B28=$AD$39),$AG$39,IF(AND('Year 1'!$B28=$AD$40),$AG$40,IF(AND('Year 1'!$B28=$AD$41),$AG$41,0)))))</f>
        <v>0</v>
      </c>
      <c r="AL28" s="841">
        <f>IF(AND('Year 1'!$B28=$AD$48),$AG$48,IF(AND('Year 1'!$B28=$AD$49),$AG$49,IF(AND('Year 1'!$B28=$AD$50),$AG$50,IF(AND('Year 1'!$B28=$AD$51),$AG$51,IF(AND('Year 1'!$B28=$AD$52),$AG$52,0)))))</f>
        <v>0</v>
      </c>
      <c r="AM28" s="841">
        <f>IF(AND('Year 1'!$B28=$AD$60),$AG$60,IF(AND('Year 1'!$B28=$AD$61),$AG$61,IF(AND('Year 1'!$B28=$AD$62),$AG$62,IF(AND('Year 1'!$B28=$AD$63),$AG$63,IF(AND('Year 1'!$B28=$AD$64),$AG$64,0)))))</f>
        <v>0</v>
      </c>
      <c r="AN28" s="831"/>
      <c r="AO28" s="831"/>
      <c r="AP28" s="828"/>
      <c r="BE28" s="95"/>
    </row>
    <row r="29" spans="2:57" ht="13.5" customHeight="1">
      <c r="B29" s="605">
        <f>IF(AND(Subcontracts!$Z$50=1),AJ29,IF(AND(Subcontracts!$Z$50=2),AK29,IF(AND(Subcontracts!$Z$50=3),AL29,IF(AND(Subcontracts!$Z$50=4),AM29,0))))</f>
        <v>0</v>
      </c>
      <c r="C29" s="1026"/>
      <c r="D29" s="1027"/>
      <c r="E29" s="1043"/>
      <c r="F29" s="1063"/>
      <c r="G29" s="1063"/>
      <c r="H29" s="1063"/>
      <c r="I29" s="90">
        <f>IF(Subcontracts!$F$5&gt;=4,+'Year 3'!I29+('Year 3'!I29*('Year 3'!$D$2/100)),)</f>
        <v>0</v>
      </c>
      <c r="J29" s="91">
        <f>IF(Subcontracts!$F$5&gt;=4,(((I29/12)*F28)+((I29/9)*G28)+((I29/3)*H28)),)</f>
        <v>0</v>
      </c>
      <c r="K29" s="92">
        <f>(B29/100)*J29</f>
        <v>0</v>
      </c>
      <c r="L29" s="93">
        <f>J29+K29</f>
        <v>0</v>
      </c>
      <c r="M29" s="94"/>
      <c r="N29" s="94"/>
      <c r="O29" s="95"/>
      <c r="P29" s="95"/>
      <c r="Q29" s="95"/>
      <c r="AA29" s="831"/>
      <c r="AB29" s="843" t="str">
        <f>'Year 2'!AB29</f>
        <v>IFR</v>
      </c>
      <c r="AC29" s="831"/>
      <c r="AD29" s="840">
        <f>'Year 2'!AD29</f>
        <v>54.61</v>
      </c>
      <c r="AE29" s="840">
        <f>'Year 2'!AE29</f>
        <v>57.75</v>
      </c>
      <c r="AF29" s="840">
        <f>'Year 2'!AF29</f>
        <v>59.38</v>
      </c>
      <c r="AG29" s="840">
        <f>'Year 2'!AG29</f>
        <v>61.645</v>
      </c>
      <c r="AH29" s="840">
        <f>'Year 2'!AH29</f>
        <v>64.05</v>
      </c>
      <c r="AI29" s="840"/>
      <c r="AJ29" s="841">
        <f>IF(AND('Year 1'!$B29=$AD$25),$AG$25,IF(AND('Year 1'!$B29=$AD$26),$AG$26,IF(AND('Year 1'!$B29=$AD$27),$AG$27,IF(AND('Year 1'!$B29=$AD$28),$AG$28,IF(AND('Year 1'!$B29=$AD$29),$AG$29,0)))))</f>
        <v>0</v>
      </c>
      <c r="AK29" s="841">
        <f>IF(AND('Year 1'!$B29=$AD$37),$AG$37,IF(AND('Year 1'!$B29=$AD$38),$AG$38,IF(AND('Year 1'!$B29=$AD$39),$AG$39,IF(AND('Year 1'!$B29=$AD$40),$AG$40,IF(AND('Year 1'!$B29=$AD$41),$AG$41,0)))))</f>
        <v>0</v>
      </c>
      <c r="AL29" s="841">
        <f>IF(AND('Year 1'!$B29=$AD$48),$AG$48,IF(AND('Year 1'!$B29=$AD$49),$AG$49,IF(AND('Year 1'!$B29=$AD$50),$AG$50,IF(AND('Year 1'!$B29=$AD$51),$AG$51,IF(AND('Year 1'!$B29=$AD$52),$AG$52,0)))))</f>
        <v>0</v>
      </c>
      <c r="AM29" s="841">
        <f>IF(AND('Year 1'!$B29=$AD$60),$AG$60,IF(AND('Year 1'!$B29=$AD$61),$AG$61,IF(AND('Year 1'!$B29=$AD$62),$AG$62,IF(AND('Year 1'!$B29=$AD$63),$AG$63,IF(AND('Year 1'!$B29=$AD$64),$AG$64,0)))))</f>
        <v>0</v>
      </c>
      <c r="AN29" s="840"/>
      <c r="AO29" s="840"/>
      <c r="AP29" s="828"/>
      <c r="BE29" s="95"/>
    </row>
    <row r="30" spans="2:57" ht="13.5" customHeight="1">
      <c r="B30" s="606"/>
      <c r="C30" s="1028">
        <f>IF(Subcontracts!$F$5=0,"",IF(Subcontracts!$F$5&gt;=4,+'Year 3'!C30:D31,""))</f>
        <v>0</v>
      </c>
      <c r="D30" s="1029"/>
      <c r="E30" s="1044">
        <f>IF(Subcontracts!$F$5=0,"",IF(Subcontracts!$F$5&gt;=4,+'Year 3'!E30:E31,""))</f>
        <v>0</v>
      </c>
      <c r="F30" s="1062">
        <f>IF(Subcontracts!$F$5=0,"",IF(Subcontracts!$F$5&gt;=4,+'Year 3'!F30:F31,""))</f>
        <v>0</v>
      </c>
      <c r="G30" s="1062">
        <f>IF(Subcontracts!$F$5=0,"",IF(Subcontracts!$F$5&gt;=4,+'Year 3'!G30:G31,""))</f>
        <v>0</v>
      </c>
      <c r="H30" s="1064">
        <f>IF(Subcontracts!$F$5=0,"",IF(Subcontracts!$F$5&gt;=4,+'Year 3'!H30:H31,""))</f>
        <v>0</v>
      </c>
      <c r="I30" s="97"/>
      <c r="J30" s="87"/>
      <c r="K30" s="87"/>
      <c r="L30" s="88"/>
      <c r="M30" s="94"/>
      <c r="N30" s="94"/>
      <c r="O30" s="95"/>
      <c r="P30" s="95"/>
      <c r="Q30" s="95"/>
      <c r="AA30" s="831"/>
      <c r="AB30" s="843" t="str">
        <f>'Year 2'!AB30</f>
        <v>F&amp;A</v>
      </c>
      <c r="AC30" s="831"/>
      <c r="AD30" s="840">
        <f>'Year 2'!AD30</f>
        <v>59.5</v>
      </c>
      <c r="AE30" s="840">
        <f>'Year 2'!AE30</f>
        <v>59.5</v>
      </c>
      <c r="AF30" s="840">
        <f>'Year 2'!AF30</f>
        <v>59.5</v>
      </c>
      <c r="AG30" s="840">
        <f>'Year 2'!AG30</f>
        <v>59.5</v>
      </c>
      <c r="AH30" s="840">
        <f>'Year 2'!AH30</f>
        <v>59.5</v>
      </c>
      <c r="AI30" s="831"/>
      <c r="AJ30" s="841">
        <f>IF(AND('Year 1'!$B30=$AD$25),$AG$25,IF(AND('Year 1'!$B30=$AD$26),$AG$26,IF(AND('Year 1'!$B30=$AD$27),$AG$27,IF(AND('Year 1'!$B30=$AD$28),$AG$28,IF(AND('Year 1'!$B30=$AD$29),$AG$29,0)))))</f>
        <v>0</v>
      </c>
      <c r="AK30" s="841">
        <f>IF(AND('Year 1'!$B30=$AD$37),$AG$37,IF(AND('Year 1'!$B30=$AD$38),$AG$38,IF(AND('Year 1'!$B30=$AD$39),$AG$39,IF(AND('Year 1'!$B30=$AD$40),$AG$40,IF(AND('Year 1'!$B30=$AD$41),$AG$41,0)))))</f>
        <v>0</v>
      </c>
      <c r="AL30" s="841">
        <f>IF(AND('Year 1'!$B30=$AD$48),$AG$48,IF(AND('Year 1'!$B30=$AD$49),$AG$49,IF(AND('Year 1'!$B30=$AD$50),$AG$50,IF(AND('Year 1'!$B30=$AD$51),$AG$51,IF(AND('Year 1'!$B30=$AD$52),$AG$52,0)))))</f>
        <v>0</v>
      </c>
      <c r="AM30" s="841">
        <f>IF(AND('Year 1'!$B30=$AD$60),$AG$60,IF(AND('Year 1'!$B30=$AD$61),$AG$61,IF(AND('Year 1'!$B30=$AD$62),$AG$62,IF(AND('Year 1'!$B30=$AD$63),$AG$63,IF(AND('Year 1'!$B30=$AD$64),$AG$64,0)))))</f>
        <v>0</v>
      </c>
      <c r="AN30" s="831"/>
      <c r="AO30" s="831"/>
      <c r="AP30" s="828"/>
      <c r="BE30" s="95"/>
    </row>
    <row r="31" spans="2:57" ht="13.5" customHeight="1">
      <c r="B31" s="605">
        <f>IF(AND(Subcontracts!$Z$50=1),AJ31,IF(AND(Subcontracts!$Z$50=2),AK31,IF(AND(Subcontracts!$Z$50=3),AL31,IF(AND(Subcontracts!$Z$50=4),AM31,0))))</f>
        <v>0</v>
      </c>
      <c r="C31" s="1020"/>
      <c r="D31" s="1021"/>
      <c r="E31" s="1041"/>
      <c r="F31" s="1063"/>
      <c r="G31" s="1063"/>
      <c r="H31" s="1063"/>
      <c r="I31" s="99">
        <f>IF(Subcontracts!$F$5&gt;=4,+'Year 3'!I31+('Year 3'!I31*('Year 3'!$D$2/100)),)</f>
        <v>0</v>
      </c>
      <c r="J31" s="91">
        <f>IF(Subcontracts!$F$5&gt;=4,(((I31/12)*F30)+((I31/9)*G30)+((I31/3)*H30)),)</f>
        <v>0</v>
      </c>
      <c r="K31" s="92">
        <f>(B31/100)*J31</f>
        <v>0</v>
      </c>
      <c r="L31" s="93">
        <f>J31+K31</f>
        <v>0</v>
      </c>
      <c r="M31" s="94"/>
      <c r="N31" s="94"/>
      <c r="O31" s="95"/>
      <c r="P31" s="95"/>
      <c r="Q31" s="95"/>
      <c r="AA31" s="831"/>
      <c r="AB31" s="843">
        <f>'Year 2'!AB31</f>
        <v>0</v>
      </c>
      <c r="AC31" s="831"/>
      <c r="AD31" s="840">
        <f>'Year 2'!AD31</f>
        <v>0</v>
      </c>
      <c r="AE31" s="840">
        <f>'Year 2'!AE31</f>
        <v>0</v>
      </c>
      <c r="AF31" s="840">
        <f>'Year 2'!AF31</f>
        <v>0</v>
      </c>
      <c r="AG31" s="840">
        <f>'Year 2'!AG31</f>
        <v>0</v>
      </c>
      <c r="AH31" s="840">
        <f>'Year 2'!AH31</f>
        <v>0</v>
      </c>
      <c r="AI31" s="840"/>
      <c r="AJ31" s="841">
        <f>IF(AND('Year 1'!$B31=$AD$25),$AG$25,IF(AND('Year 1'!$B31=$AD$26),$AG$26,IF(AND('Year 1'!$B31=$AD$27),$AG$27,IF(AND('Year 1'!$B31=$AD$28),$AG$28,IF(AND('Year 1'!$B31=$AD$29),$AG$29,0)))))</f>
        <v>0</v>
      </c>
      <c r="AK31" s="841">
        <f>IF(AND('Year 1'!$B31=$AD$37),$AG$37,IF(AND('Year 1'!$B31=$AD$38),$AG$38,IF(AND('Year 1'!$B31=$AD$39),$AG$39,IF(AND('Year 1'!$B31=$AD$40),$AG$40,IF(AND('Year 1'!$B31=$AD$41),$AG$41,0)))))</f>
        <v>0</v>
      </c>
      <c r="AL31" s="841">
        <f>IF(AND('Year 1'!$B31=$AD$48),$AG$48,IF(AND('Year 1'!$B31=$AD$49),$AG$49,IF(AND('Year 1'!$B31=$AD$50),$AG$50,IF(AND('Year 1'!$B31=$AD$51),$AG$51,IF(AND('Year 1'!$B31=$AD$52),$AG$52,0)))))</f>
        <v>0</v>
      </c>
      <c r="AM31" s="841">
        <f>IF(AND('Year 1'!$B31=$AD$60),$AG$60,IF(AND('Year 1'!$B31=$AD$61),$AG$61,IF(AND('Year 1'!$B31=$AD$62),$AG$62,IF(AND('Year 1'!$B31=$AD$63),$AG$63,IF(AND('Year 1'!$B31=$AD$64),$AG$64,0)))))</f>
        <v>0</v>
      </c>
      <c r="AN31" s="840"/>
      <c r="AO31" s="840"/>
      <c r="AP31" s="828"/>
      <c r="BE31" s="95"/>
    </row>
    <row r="32" spans="2:57" ht="13.5" customHeight="1">
      <c r="B32" s="606"/>
      <c r="C32" s="1018">
        <f>IF(Subcontracts!$F$5=0,"",IF(Subcontracts!$F$5&gt;=4,+'Year 3'!C32:D33,""))</f>
        <v>0</v>
      </c>
      <c r="D32" s="1019"/>
      <c r="E32" s="1040">
        <f>IF(Subcontracts!$F$5=0,"",IF(Subcontracts!$F$5&gt;=4,+'Year 3'!E32:E33,""))</f>
        <v>0</v>
      </c>
      <c r="F32" s="1062">
        <f>IF(Subcontracts!$F$5=0,"",IF(Subcontracts!$F$5&gt;=4,+'Year 3'!F32:F33,""))</f>
        <v>0</v>
      </c>
      <c r="G32" s="1062">
        <f>IF(Subcontracts!$F$5=0,"",IF(Subcontracts!$F$5&gt;=4,+'Year 3'!G32:G33,""))</f>
        <v>0</v>
      </c>
      <c r="H32" s="1064">
        <f>IF(Subcontracts!$F$5=0,"",IF(Subcontracts!$F$5&gt;=4,+'Year 3'!H32:H33,""))</f>
        <v>0</v>
      </c>
      <c r="I32" s="100"/>
      <c r="J32" s="87"/>
      <c r="K32" s="87"/>
      <c r="L32" s="88"/>
      <c r="M32" s="94"/>
      <c r="N32" s="94"/>
      <c r="O32" s="95"/>
      <c r="P32" s="95"/>
      <c r="Q32" s="95"/>
      <c r="AA32" s="831"/>
      <c r="AB32" s="843">
        <f>'Year 2'!AB32</f>
        <v>0</v>
      </c>
      <c r="AC32" s="831"/>
      <c r="AD32" s="840">
        <f>'Year 2'!AD32</f>
        <v>0</v>
      </c>
      <c r="AE32" s="840">
        <f>'Year 2'!AE32</f>
        <v>0</v>
      </c>
      <c r="AF32" s="840">
        <f>'Year 2'!AF32</f>
        <v>0</v>
      </c>
      <c r="AG32" s="840">
        <f>'Year 2'!AG32</f>
        <v>0</v>
      </c>
      <c r="AH32" s="840">
        <f>'Year 2'!AH32</f>
        <v>0</v>
      </c>
      <c r="AI32" s="831"/>
      <c r="AJ32" s="841">
        <f>IF(AND('Year 1'!$B32=$AD$25),$AG$25,IF(AND('Year 1'!$B32=$AD$26),$AG$26,IF(AND('Year 1'!$B32=$AD$27),$AG$27,IF(AND('Year 1'!$B32=$AD$28),$AG$28,IF(AND('Year 1'!$B32=$AD$29),$AG$29,0)))))</f>
        <v>0</v>
      </c>
      <c r="AK32" s="841">
        <f>IF(AND('Year 1'!$B32=$AD$37),$AG$37,IF(AND('Year 1'!$B32=$AD$38),$AG$38,IF(AND('Year 1'!$B32=$AD$39),$AG$39,IF(AND('Year 1'!$B32=$AD$40),$AG$40,IF(AND('Year 1'!$B32=$AD$41),$AG$41,0)))))</f>
        <v>0</v>
      </c>
      <c r="AL32" s="841">
        <f>IF(AND('Year 1'!$B32=$AD$48),$AG$48,IF(AND('Year 1'!$B32=$AD$49),$AG$49,IF(AND('Year 1'!$B32=$AD$50),$AG$50,IF(AND('Year 1'!$B32=$AD$51),$AG$51,IF(AND('Year 1'!$B32=$AD$52),$AG$52,0)))))</f>
        <v>0</v>
      </c>
      <c r="AM32" s="841">
        <f>IF(AND('Year 1'!$B32=$AD$60),$AG$60,IF(AND('Year 1'!$B32=$AD$61),$AG$61,IF(AND('Year 1'!$B32=$AD$62),$AG$62,IF(AND('Year 1'!$B32=$AD$63),$AG$63,IF(AND('Year 1'!$B32=$AD$64),$AG$64,0)))))</f>
        <v>0</v>
      </c>
      <c r="AN32" s="831"/>
      <c r="AO32" s="831"/>
      <c r="AP32" s="828"/>
      <c r="BE32" s="95"/>
    </row>
    <row r="33" spans="2:57" ht="13.5" customHeight="1">
      <c r="B33" s="605">
        <f>IF(AND(Subcontracts!$Z$50=1),AJ33,IF(AND(Subcontracts!$Z$50=2),AK33,IF(AND(Subcontracts!$Z$50=3),AL33,IF(AND(Subcontracts!$Z$50=4),AM33,0))))</f>
        <v>0</v>
      </c>
      <c r="C33" s="1020"/>
      <c r="D33" s="1021"/>
      <c r="E33" s="1041"/>
      <c r="F33" s="1063"/>
      <c r="G33" s="1063"/>
      <c r="H33" s="1063"/>
      <c r="I33" s="90">
        <f>IF(Subcontracts!$F$5&gt;=4,+'Year 3'!I33+('Year 3'!I33*('Year 3'!$D$2/100)),)</f>
        <v>0</v>
      </c>
      <c r="J33" s="91">
        <f>IF(Subcontracts!$F$5&gt;=4,(((I33/12)*F32)+((I33/9)*G32)+((I33/3)*H32)),)</f>
        <v>0</v>
      </c>
      <c r="K33" s="92">
        <f>(B33/100)*J33</f>
        <v>0</v>
      </c>
      <c r="L33" s="93">
        <f>J33+K33</f>
        <v>0</v>
      </c>
      <c r="M33" s="94"/>
      <c r="N33" s="94"/>
      <c r="O33" s="95"/>
      <c r="P33" s="95"/>
      <c r="Q33" s="95"/>
      <c r="AA33" s="831"/>
      <c r="AB33" s="843">
        <f>'Year 2'!AB33</f>
        <v>0</v>
      </c>
      <c r="AC33" s="831"/>
      <c r="AD33" s="840">
        <f>'Year 2'!AD33</f>
        <v>0</v>
      </c>
      <c r="AE33" s="840">
        <f>'Year 2'!AE33</f>
        <v>0</v>
      </c>
      <c r="AF33" s="840">
        <f>'Year 2'!AF33</f>
        <v>0</v>
      </c>
      <c r="AG33" s="840">
        <f>'Year 2'!AG33</f>
        <v>0</v>
      </c>
      <c r="AH33" s="840">
        <f>'Year 2'!AH33</f>
        <v>0</v>
      </c>
      <c r="AI33" s="840"/>
      <c r="AJ33" s="841">
        <f>IF(AND('Year 1'!$B33=$AD$25),$AG$25,IF(AND('Year 1'!$B33=$AD$26),$AG$26,IF(AND('Year 1'!$B33=$AD$27),$AG$27,IF(AND('Year 1'!$B33=$AD$28),$AG$28,IF(AND('Year 1'!$B33=$AD$29),$AG$29,0)))))</f>
        <v>0</v>
      </c>
      <c r="AK33" s="841">
        <f>IF(AND('Year 1'!$B33=$AD$37),$AG$37,IF(AND('Year 1'!$B33=$AD$38),$AG$38,IF(AND('Year 1'!$B33=$AD$39),$AG$39,IF(AND('Year 1'!$B33=$AD$40),$AG$40,IF(AND('Year 1'!$B33=$AD$41),$AG$41,0)))))</f>
        <v>0</v>
      </c>
      <c r="AL33" s="841">
        <f>IF(AND('Year 1'!$B33=$AD$48),$AG$48,IF(AND('Year 1'!$B33=$AD$49),$AG$49,IF(AND('Year 1'!$B33=$AD$50),$AG$50,IF(AND('Year 1'!$B33=$AD$51),$AG$51,IF(AND('Year 1'!$B33=$AD$52),$AG$52,0)))))</f>
        <v>0</v>
      </c>
      <c r="AM33" s="841">
        <f>IF(AND('Year 1'!$B33=$AD$60),$AG$60,IF(AND('Year 1'!$B33=$AD$61),$AG$61,IF(AND('Year 1'!$B33=$AD$62),$AG$62,IF(AND('Year 1'!$B33=$AD$63),$AG$63,IF(AND('Year 1'!$B33=$AD$64),$AG$64,0)))))</f>
        <v>0</v>
      </c>
      <c r="AN33" s="840"/>
      <c r="AO33" s="840"/>
      <c r="AP33" s="828"/>
      <c r="BE33" s="95"/>
    </row>
    <row r="34" spans="2:57" ht="13.5" customHeight="1">
      <c r="B34" s="606"/>
      <c r="C34" s="1018">
        <f>IF(Subcontracts!$F$5=0,"",IF(Subcontracts!$F$5&gt;=4,+'Year 3'!C34:D35,""))</f>
        <v>0</v>
      </c>
      <c r="D34" s="1019"/>
      <c r="E34" s="1040">
        <f>IF(Subcontracts!$F$5=0,"",IF(Subcontracts!$F$5&gt;=4,+'Year 3'!E34:E35,""))</f>
        <v>0</v>
      </c>
      <c r="F34" s="1062">
        <f>IF(Subcontracts!$F$5=0,"",IF(Subcontracts!$F$5&gt;=4,+'Year 3'!F34:F35,""))</f>
        <v>0</v>
      </c>
      <c r="G34" s="1062">
        <f>IF(Subcontracts!$F$5=0,"",IF(Subcontracts!$F$5&gt;=4,+'Year 3'!G34:G35,""))</f>
        <v>0</v>
      </c>
      <c r="H34" s="1064">
        <f>IF(Subcontracts!$F$5=0,"",IF(Subcontracts!$F$5&gt;=4,+'Year 3'!H34:H35,""))</f>
        <v>0</v>
      </c>
      <c r="I34" s="97"/>
      <c r="J34" s="87"/>
      <c r="K34" s="87"/>
      <c r="L34" s="88"/>
      <c r="M34" s="94"/>
      <c r="N34" s="94"/>
      <c r="O34" s="95"/>
      <c r="P34" s="95"/>
      <c r="Q34" s="95"/>
      <c r="AA34" s="831"/>
      <c r="AB34" s="843" t="str">
        <f>'Year 2'!AB34</f>
        <v>number 2</v>
      </c>
      <c r="AC34" s="831"/>
      <c r="AD34" s="840">
        <f>'Year 2'!AD34</f>
        <v>0</v>
      </c>
      <c r="AE34" s="840">
        <f>'Year 2'!AE34</f>
        <v>0</v>
      </c>
      <c r="AF34" s="840">
        <f>'Year 2'!AF34</f>
        <v>0</v>
      </c>
      <c r="AG34" s="840">
        <f>'Year 2'!AG34</f>
        <v>0</v>
      </c>
      <c r="AH34" s="840">
        <f>'Year 2'!AH34</f>
        <v>0</v>
      </c>
      <c r="AI34" s="831"/>
      <c r="AJ34" s="841">
        <f>IF(AND('Year 1'!$B34=$AD$25),$AG$25,IF(AND('Year 1'!$B34=$AD$26),$AG$26,IF(AND('Year 1'!$B34=$AD$27),$AG$27,IF(AND('Year 1'!$B34=$AD$28),$AG$28,IF(AND('Year 1'!$B34=$AD$29),$AG$29,0)))))</f>
        <v>0</v>
      </c>
      <c r="AK34" s="841">
        <f>IF(AND('Year 1'!$B34=$AD$37),$AG$37,IF(AND('Year 1'!$B34=$AD$38),$AG$38,IF(AND('Year 1'!$B34=$AD$39),$AG$39,IF(AND('Year 1'!$B34=$AD$40),$AG$40,IF(AND('Year 1'!$B34=$AD$41),$AG$41,0)))))</f>
        <v>0</v>
      </c>
      <c r="AL34" s="841">
        <f>IF(AND('Year 1'!$B34=$AD$48),$AG$48,IF(AND('Year 1'!$B34=$AD$49),$AG$49,IF(AND('Year 1'!$B34=$AD$50),$AG$50,IF(AND('Year 1'!$B34=$AD$51),$AG$51,IF(AND('Year 1'!$B34=$AD$52),$AG$52,0)))))</f>
        <v>0</v>
      </c>
      <c r="AM34" s="841">
        <f>IF(AND('Year 1'!$B34=$AD$60),$AG$60,IF(AND('Year 1'!$B34=$AD$61),$AG$61,IF(AND('Year 1'!$B34=$AD$62),$AG$62,IF(AND('Year 1'!$B34=$AD$63),$AG$63,IF(AND('Year 1'!$B34=$AD$64),$AG$64,0)))))</f>
        <v>0</v>
      </c>
      <c r="AN34" s="831"/>
      <c r="AO34" s="831"/>
      <c r="AP34" s="828"/>
      <c r="BE34" s="95"/>
    </row>
    <row r="35" spans="2:57" ht="13.5" customHeight="1">
      <c r="B35" s="605">
        <f>IF(AND(Subcontracts!$Z$50=1),AJ35,IF(AND(Subcontracts!$Z$50=2),AK35,IF(AND(Subcontracts!$Z$50=3),AL35,IF(AND(Subcontracts!$Z$50=4),AM35,0))))</f>
        <v>0</v>
      </c>
      <c r="C35" s="1020"/>
      <c r="D35" s="1021"/>
      <c r="E35" s="1041"/>
      <c r="F35" s="1063"/>
      <c r="G35" s="1063"/>
      <c r="H35" s="1063"/>
      <c r="I35" s="90">
        <f>IF(Subcontracts!$F$5&gt;=4,+'Year 3'!I35+('Year 3'!I35*('Year 3'!$D$2/100)),)</f>
        <v>0</v>
      </c>
      <c r="J35" s="91">
        <f>IF(Subcontracts!$F$5&gt;=4,(((I35/12)*F34)+((I35/9)*G34)+((I35/3)*H34)),)</f>
        <v>0</v>
      </c>
      <c r="K35" s="92">
        <f>(B35/100)*J35</f>
        <v>0</v>
      </c>
      <c r="L35" s="93">
        <f>J35+K35</f>
        <v>0</v>
      </c>
      <c r="M35" s="94"/>
      <c r="N35" s="94"/>
      <c r="O35" s="95"/>
      <c r="P35" s="95"/>
      <c r="Q35" s="95"/>
      <c r="AA35" s="831"/>
      <c r="AB35" s="843" t="str">
        <f>'Year 2'!AB35</f>
        <v>year 1 start between 1/1/17- 12/31/17</v>
      </c>
      <c r="AC35" s="831"/>
      <c r="AD35" s="840">
        <f>'Year 2'!AD35</f>
        <v>0</v>
      </c>
      <c r="AE35" s="840">
        <f>'Year 2'!AE35</f>
        <v>0</v>
      </c>
      <c r="AF35" s="840">
        <f>'Year 2'!AF35</f>
        <v>0</v>
      </c>
      <c r="AG35" s="840">
        <f>'Year 2'!AG35</f>
        <v>0</v>
      </c>
      <c r="AH35" s="840">
        <f>'Year 2'!AH35</f>
        <v>0</v>
      </c>
      <c r="AI35" s="840"/>
      <c r="AJ35" s="841">
        <f>IF(AND('Year 1'!$B35=$AD$25),$AG$25,IF(AND('Year 1'!$B35=$AD$26),$AG$26,IF(AND('Year 1'!$B35=$AD$27),$AG$27,IF(AND('Year 1'!$B35=$AD$28),$AG$28,IF(AND('Year 1'!$B35=$AD$29),$AG$29,0)))))</f>
        <v>0</v>
      </c>
      <c r="AK35" s="841">
        <f>IF(AND('Year 1'!$B35=$AD$37),$AG$37,IF(AND('Year 1'!$B35=$AD$38),$AG$38,IF(AND('Year 1'!$B35=$AD$39),$AG$39,IF(AND('Year 1'!$B35=$AD$40),$AG$40,IF(AND('Year 1'!$B35=$AD$41),$AG$41,0)))))</f>
        <v>0</v>
      </c>
      <c r="AL35" s="841">
        <f>IF(AND('Year 1'!$B35=$AD$48),$AG$48,IF(AND('Year 1'!$B35=$AD$49),$AG$49,IF(AND('Year 1'!$B35=$AD$50),$AG$50,IF(AND('Year 1'!$B35=$AD$51),$AG$51,IF(AND('Year 1'!$B35=$AD$52),$AG$52,0)))))</f>
        <v>0</v>
      </c>
      <c r="AM35" s="841">
        <f>IF(AND('Year 1'!$B35=$AD$60),$AG$60,IF(AND('Year 1'!$B35=$AD$61),$AG$61,IF(AND('Year 1'!$B35=$AD$62),$AG$62,IF(AND('Year 1'!$B35=$AD$63),$AG$63,IF(AND('Year 1'!$B35=$AD$64),$AG$64,0)))))</f>
        <v>0</v>
      </c>
      <c r="AN35" s="840"/>
      <c r="AO35" s="840"/>
      <c r="AP35" s="828"/>
      <c r="BE35" s="95"/>
    </row>
    <row r="36" spans="2:57" ht="13.5" customHeight="1">
      <c r="B36" s="606"/>
      <c r="C36" s="1018">
        <f>IF(Subcontracts!$F$5=0,"",IF(Subcontracts!$F$5&gt;=4,+'Year 3'!C36:D37,""))</f>
        <v>0</v>
      </c>
      <c r="D36" s="1019"/>
      <c r="E36" s="1040">
        <f>IF(Subcontracts!$F$5=0,"",IF(Subcontracts!$F$5&gt;=4,+'Year 3'!E36:E37,""))</f>
        <v>0</v>
      </c>
      <c r="F36" s="1062">
        <f>IF(Subcontracts!$F$5=0,"",IF(Subcontracts!$F$5&gt;=4,+'Year 3'!F36:F37,""))</f>
        <v>0</v>
      </c>
      <c r="G36" s="1062">
        <f>IF(Subcontracts!$F$5=0,"",IF(Subcontracts!$F$5&gt;=4,+'Year 3'!G36:G37,""))</f>
        <v>0</v>
      </c>
      <c r="H36" s="1064">
        <f>IF(Subcontracts!$F$5=0,"",IF(Subcontracts!$F$5&gt;=4,+'Year 3'!H36:H37,""))</f>
        <v>0</v>
      </c>
      <c r="I36" s="97"/>
      <c r="J36" s="87"/>
      <c r="K36" s="87"/>
      <c r="L36" s="88"/>
      <c r="M36" s="94"/>
      <c r="N36" s="94"/>
      <c r="O36" s="95"/>
      <c r="P36" s="95"/>
      <c r="Q36" s="95"/>
      <c r="AA36" s="831"/>
      <c r="AB36" s="843">
        <f>'Year 2'!AB36</f>
        <v>0</v>
      </c>
      <c r="AC36" s="831"/>
      <c r="AD36" s="840" t="str">
        <f>'Year 2'!AD36</f>
        <v>year 1</v>
      </c>
      <c r="AE36" s="840" t="str">
        <f>'Year 2'!AE36</f>
        <v>year 2</v>
      </c>
      <c r="AF36" s="840" t="str">
        <f>'Year 2'!AF36</f>
        <v>year 3</v>
      </c>
      <c r="AG36" s="840" t="str">
        <f>'Year 2'!AG36</f>
        <v>year 4</v>
      </c>
      <c r="AH36" s="840" t="str">
        <f>'Year 2'!AH36</f>
        <v>year 5</v>
      </c>
      <c r="AI36" s="831"/>
      <c r="AJ36" s="841">
        <f>IF(AND('Year 1'!$B36=$AD$25),$AG$25,IF(AND('Year 1'!$B36=$AD$26),$AG$26,IF(AND('Year 1'!$B36=$AD$27),$AG$27,IF(AND('Year 1'!$B36=$AD$28),$AG$28,IF(AND('Year 1'!$B36=$AD$29),$AG$29,0)))))</f>
        <v>0</v>
      </c>
      <c r="AK36" s="841">
        <f>IF(AND('Year 1'!$B36=$AD$37),$AG$37,IF(AND('Year 1'!$B36=$AD$38),$AG$38,IF(AND('Year 1'!$B36=$AD$39),$AG$39,IF(AND('Year 1'!$B36=$AD$40),$AG$40,IF(AND('Year 1'!$B36=$AD$41),$AG$41,0)))))</f>
        <v>0</v>
      </c>
      <c r="AL36" s="841">
        <f>IF(AND('Year 1'!$B36=$AD$48),$AG$48,IF(AND('Year 1'!$B36=$AD$49),$AG$49,IF(AND('Year 1'!$B36=$AD$50),$AG$50,IF(AND('Year 1'!$B36=$AD$51),$AG$51,IF(AND('Year 1'!$B36=$AD$52),$AG$52,0)))))</f>
        <v>0</v>
      </c>
      <c r="AM36" s="841">
        <f>IF(AND('Year 1'!$B36=$AD$60),$AG$60,IF(AND('Year 1'!$B36=$AD$61),$AG$61,IF(AND('Year 1'!$B36=$AD$62),$AG$62,IF(AND('Year 1'!$B36=$AD$63),$AG$63,IF(AND('Year 1'!$B36=$AD$64),$AG$64,0)))))</f>
        <v>0</v>
      </c>
      <c r="AN36" s="831"/>
      <c r="AO36" s="831"/>
      <c r="AP36" s="828"/>
      <c r="BE36" s="95"/>
    </row>
    <row r="37" spans="2:57" ht="13.5" customHeight="1">
      <c r="B37" s="605">
        <f>IF(AND(Subcontracts!$Z$50=1),AJ37,IF(AND(Subcontracts!$Z$50=2),AK37,IF(AND(Subcontracts!$Z$50=3),AL37,IF(AND(Subcontracts!$Z$50=4),AM37,0))))</f>
        <v>0</v>
      </c>
      <c r="C37" s="1020"/>
      <c r="D37" s="1021"/>
      <c r="E37" s="1041"/>
      <c r="F37" s="1063"/>
      <c r="G37" s="1063"/>
      <c r="H37" s="1063"/>
      <c r="I37" s="90">
        <f>IF(Subcontracts!$F$5&gt;=4,+'Year 3'!I37+('Year 3'!I37*('Year 3'!$D$2/100)),)</f>
        <v>0</v>
      </c>
      <c r="J37" s="91">
        <f>IF(Subcontracts!$F$5&gt;=4,(((I37/12)*F36)+((I37/9)*G36)+((I37/3)*H36)),)</f>
        <v>0</v>
      </c>
      <c r="K37" s="92">
        <f>(B37/100)*J37</f>
        <v>0</v>
      </c>
      <c r="L37" s="93">
        <f>J37+K37</f>
        <v>0</v>
      </c>
      <c r="M37" s="94"/>
      <c r="N37" s="94"/>
      <c r="O37" s="95"/>
      <c r="P37" s="95"/>
      <c r="Q37" s="95"/>
      <c r="AA37" s="831"/>
      <c r="AB37" s="843" t="str">
        <f>'Year 2'!AB37</f>
        <v>RF</v>
      </c>
      <c r="AC37" s="831"/>
      <c r="AD37" s="840">
        <f>'Year 2'!AD37</f>
        <v>46.5</v>
      </c>
      <c r="AE37" s="840">
        <f>'Year 2'!AE37</f>
        <v>47.5</v>
      </c>
      <c r="AF37" s="840">
        <f>'Year 2'!AF37</f>
        <v>49</v>
      </c>
      <c r="AG37" s="840">
        <f>'Year 2'!AG37</f>
        <v>49</v>
      </c>
      <c r="AH37" s="840">
        <f>'Year 2'!AH37</f>
        <v>49</v>
      </c>
      <c r="AI37" s="840"/>
      <c r="AJ37" s="841">
        <f>IF(AND('Year 1'!$B37=$AD$25),$AG$25,IF(AND('Year 1'!$B37=$AD$26),$AG$26,IF(AND('Year 1'!$B37=$AD$27),$AG$27,IF(AND('Year 1'!$B37=$AD$28),$AG$28,IF(AND('Year 1'!$B37=$AD$29),$AG$29,0)))))</f>
        <v>0</v>
      </c>
      <c r="AK37" s="841">
        <f>IF(AND('Year 1'!$B37=$AD$37),$AG$37,IF(AND('Year 1'!$B37=$AD$38),$AG$38,IF(AND('Year 1'!$B37=$AD$39),$AG$39,IF(AND('Year 1'!$B37=$AD$40),$AG$40,IF(AND('Year 1'!$B37=$AD$41),$AG$41,0)))))</f>
        <v>0</v>
      </c>
      <c r="AL37" s="841">
        <f>IF(AND('Year 1'!$B37=$AD$48),$AG$48,IF(AND('Year 1'!$B37=$AD$49),$AG$49,IF(AND('Year 1'!$B37=$AD$50),$AG$50,IF(AND('Year 1'!$B37=$AD$51),$AG$51,IF(AND('Year 1'!$B37=$AD$52),$AG$52,0)))))</f>
        <v>0</v>
      </c>
      <c r="AM37" s="841">
        <f>IF(AND('Year 1'!$B37=$AD$60),$AG$60,IF(AND('Year 1'!$B37=$AD$61),$AG$61,IF(AND('Year 1'!$B37=$AD$62),$AG$62,IF(AND('Year 1'!$B37=$AD$63),$AG$63,IF(AND('Year 1'!$B37=$AD$64),$AG$64,0)))))</f>
        <v>0</v>
      </c>
      <c r="AN37" s="840"/>
      <c r="AO37" s="840"/>
      <c r="AP37" s="828"/>
      <c r="BE37" s="95"/>
    </row>
    <row r="38" spans="2:57" ht="13.5" customHeight="1">
      <c r="B38" s="606"/>
      <c r="C38" s="1055">
        <f>IF(Subcontracts!$F$5=0,"",IF(Subcontracts!$F$5&gt;=4,+'Year 3'!C38:D39,""))</f>
        <v>0</v>
      </c>
      <c r="D38" s="1019"/>
      <c r="E38" s="1032">
        <f>IF(Subcontracts!$F$5=0,"",IF(Subcontracts!$F$5&gt;=4,+'Year 3'!E38:E39,""))</f>
        <v>0</v>
      </c>
      <c r="F38" s="1062">
        <f>IF(Subcontracts!$F$5=0,"",IF(Subcontracts!$F$5&gt;=4,+'Year 3'!F38:F39,""))</f>
        <v>0</v>
      </c>
      <c r="G38" s="1062">
        <f>IF(Subcontracts!$F$5=0,"",IF(Subcontracts!$F$5&gt;=4,+'Year 3'!G38:G39,""))</f>
        <v>0</v>
      </c>
      <c r="H38" s="1064">
        <f>IF(Subcontracts!$F$5=0,"",IF(Subcontracts!$F$5&gt;=4,+'Year 3'!H38:H39,""))</f>
        <v>0</v>
      </c>
      <c r="I38" s="97"/>
      <c r="J38" s="87"/>
      <c r="K38" s="87"/>
      <c r="L38" s="88"/>
      <c r="M38" s="101"/>
      <c r="N38" s="101"/>
      <c r="O38" s="102"/>
      <c r="P38" s="102"/>
      <c r="Q38" s="102"/>
      <c r="R38" s="50"/>
      <c r="S38" s="50"/>
      <c r="T38" s="50"/>
      <c r="U38" s="50"/>
      <c r="V38" s="50"/>
      <c r="W38" s="50"/>
      <c r="X38" s="50"/>
      <c r="Y38" s="50"/>
      <c r="AA38" s="831"/>
      <c r="AB38" s="843" t="str">
        <f>'Year 2'!AB38</f>
        <v>IFR Summer</v>
      </c>
      <c r="AC38" s="831"/>
      <c r="AD38" s="840">
        <f>'Year 2'!AD38</f>
        <v>14</v>
      </c>
      <c r="AE38" s="840">
        <f>'Year 2'!AE38</f>
        <v>15</v>
      </c>
      <c r="AF38" s="840">
        <f>'Year 2'!AF38</f>
        <v>15</v>
      </c>
      <c r="AG38" s="840">
        <f>'Year 2'!AG38</f>
        <v>15</v>
      </c>
      <c r="AH38" s="840">
        <f>'Year 2'!AH38</f>
        <v>15</v>
      </c>
      <c r="AI38" s="831"/>
      <c r="AJ38" s="841">
        <f>IF(AND('Year 1'!$B38=$AD$25),$AG$25,IF(AND('Year 1'!$B38=$AD$26),$AG$26,IF(AND('Year 1'!$B38=$AD$27),$AG$27,IF(AND('Year 1'!$B38=$AD$28),$AG$28,IF(AND('Year 1'!$B38=$AD$29),$AG$29,0)))))</f>
        <v>0</v>
      </c>
      <c r="AK38" s="841">
        <f>IF(AND('Year 1'!$B38=$AD$37),$AG$37,IF(AND('Year 1'!$B38=$AD$38),$AG$38,IF(AND('Year 1'!$B38=$AD$39),$AG$39,IF(AND('Year 1'!$B38=$AD$40),$AG$40,IF(AND('Year 1'!$B38=$AD$41),$AG$41,0)))))</f>
        <v>0</v>
      </c>
      <c r="AL38" s="841">
        <f>IF(AND('Year 1'!$B38=$AD$48),$AG$48,IF(AND('Year 1'!$B38=$AD$49),$AG$49,IF(AND('Year 1'!$B38=$AD$50),$AG$50,IF(AND('Year 1'!$B38=$AD$51),$AG$51,IF(AND('Year 1'!$B38=$AD$52),$AG$52,0)))))</f>
        <v>0</v>
      </c>
      <c r="AM38" s="841">
        <f>IF(AND('Year 1'!$B38=$AD$60),$AG$60,IF(AND('Year 1'!$B38=$AD$61),$AG$61,IF(AND('Year 1'!$B38=$AD$62),$AG$62,IF(AND('Year 1'!$B38=$AD$63),$AG$63,IF(AND('Year 1'!$B38=$AD$64),$AG$64,0)))))</f>
        <v>0</v>
      </c>
      <c r="AN38" s="831"/>
      <c r="AO38" s="831"/>
      <c r="AP38" s="828"/>
      <c r="BE38" s="95"/>
    </row>
    <row r="39" spans="2:57" ht="13.5" customHeight="1">
      <c r="B39" s="605">
        <f>IF(AND(Subcontracts!$Z$50=1),AJ39,IF(AND(Subcontracts!$Z$50=2),AK39,IF(AND(Subcontracts!$Z$50=3),AL39,IF(AND(Subcontracts!$Z$50=4),AM39,0))))</f>
        <v>0</v>
      </c>
      <c r="C39" s="1020"/>
      <c r="D39" s="1021"/>
      <c r="E39" s="1033"/>
      <c r="F39" s="1063"/>
      <c r="G39" s="1063"/>
      <c r="H39" s="1063"/>
      <c r="I39" s="90">
        <f>IF(Subcontracts!$F$5&gt;=4,+'Year 3'!I39+('Year 3'!I39*('Year 3'!$D$2/100)),)</f>
        <v>0</v>
      </c>
      <c r="J39" s="91">
        <f>IF(Subcontracts!$F$5&gt;=4,(((I39/12)*F38)+((I39/9)*G38)+((I39/3)*H38)),)</f>
        <v>0</v>
      </c>
      <c r="K39" s="92">
        <f>(B39/100)*J39</f>
        <v>0</v>
      </c>
      <c r="L39" s="93">
        <f>J39+K39</f>
        <v>0</v>
      </c>
      <c r="M39" s="94"/>
      <c r="N39" s="94"/>
      <c r="O39" s="95"/>
      <c r="P39" s="95"/>
      <c r="Q39" s="95"/>
      <c r="AA39" s="831"/>
      <c r="AB39" s="843" t="str">
        <f>'Year 2'!AB39</f>
        <v>Graduate</v>
      </c>
      <c r="AC39" s="831"/>
      <c r="AD39" s="840">
        <f>'Year 2'!AD39</f>
        <v>15</v>
      </c>
      <c r="AE39" s="840">
        <f>'Year 2'!AE39</f>
        <v>16</v>
      </c>
      <c r="AF39" s="840">
        <f>'Year 2'!AF39</f>
        <v>17</v>
      </c>
      <c r="AG39" s="840">
        <f>'Year 2'!AG39</f>
        <v>17</v>
      </c>
      <c r="AH39" s="840">
        <f>'Year 2'!AH39</f>
        <v>17</v>
      </c>
      <c r="AI39" s="840"/>
      <c r="AJ39" s="841">
        <f>IF(AND('Year 1'!$B39=$AD$25),$AG$25,IF(AND('Year 1'!$B39=$AD$26),$AG$26,IF(AND('Year 1'!$B39=$AD$27),$AG$27,IF(AND('Year 1'!$B39=$AD$28),$AG$28,IF(AND('Year 1'!$B39=$AD$29),$AG$29,0)))))</f>
        <v>0</v>
      </c>
      <c r="AK39" s="841">
        <f>IF(AND('Year 1'!$B39=$AD$37),$AG$37,IF(AND('Year 1'!$B39=$AD$38),$AG$38,IF(AND('Year 1'!$B39=$AD$39),$AG$39,IF(AND('Year 1'!$B39=$AD$40),$AG$40,IF(AND('Year 1'!$B39=$AD$41),$AG$41,0)))))</f>
        <v>0</v>
      </c>
      <c r="AL39" s="841">
        <f>IF(AND('Year 1'!$B39=$AD$48),$AG$48,IF(AND('Year 1'!$B39=$AD$49),$AG$49,IF(AND('Year 1'!$B39=$AD$50),$AG$50,IF(AND('Year 1'!$B39=$AD$51),$AG$51,IF(AND('Year 1'!$B39=$AD$52),$AG$52,0)))))</f>
        <v>0</v>
      </c>
      <c r="AM39" s="841">
        <f>IF(AND('Year 1'!$B39=$AD$60),$AG$60,IF(AND('Year 1'!$B39=$AD$61),$AG$61,IF(AND('Year 1'!$B39=$AD$62),$AG$62,IF(AND('Year 1'!$B39=$AD$63),$AG$63,IF(AND('Year 1'!$B39=$AD$64),$AG$64,0)))))</f>
        <v>0</v>
      </c>
      <c r="AN39" s="840"/>
      <c r="AO39" s="840"/>
      <c r="AP39" s="828"/>
      <c r="BE39" s="95"/>
    </row>
    <row r="40" spans="2:57" ht="13.5" customHeight="1">
      <c r="B40" s="606"/>
      <c r="C40" s="1018">
        <f>IF(Subcontracts!$F$5=0,"",IF(Subcontracts!$F$5&gt;=4,+'Year 3'!C40:D41,""))</f>
        <v>0</v>
      </c>
      <c r="D40" s="1019"/>
      <c r="E40" s="1040">
        <f>IF(Subcontracts!$F$5=0,"",IF(Subcontracts!$F$5&gt;=4,+'Year 3'!E40:E41,""))</f>
        <v>0</v>
      </c>
      <c r="F40" s="1062">
        <f>IF(Subcontracts!$F$5=0,"",IF(Subcontracts!$F$5&gt;=4,+'Year 3'!F40:F41,""))</f>
        <v>0</v>
      </c>
      <c r="G40" s="1062">
        <f>IF(Subcontracts!$F$5=0,"",IF(Subcontracts!$F$5&gt;=4,+'Year 3'!G40:G41,""))</f>
        <v>0</v>
      </c>
      <c r="H40" s="1064">
        <f>IF(Subcontracts!$F$5=0,"",IF(Subcontracts!$F$5&gt;=4,+'Year 3'!H40:H41,""))</f>
        <v>0</v>
      </c>
      <c r="I40" s="97"/>
      <c r="J40" s="87"/>
      <c r="K40" s="87"/>
      <c r="L40" s="88"/>
      <c r="M40" s="101"/>
      <c r="N40" s="101"/>
      <c r="O40" s="102"/>
      <c r="P40" s="102"/>
      <c r="Q40" s="95"/>
      <c r="AA40" s="831"/>
      <c r="AB40" s="843" t="str">
        <f>'Year 2'!AB40</f>
        <v>Undergrad</v>
      </c>
      <c r="AC40" s="831"/>
      <c r="AD40" s="840">
        <f>'Year 2'!AD40</f>
        <v>5</v>
      </c>
      <c r="AE40" s="840">
        <f>'Year 2'!AE40</f>
        <v>5</v>
      </c>
      <c r="AF40" s="840">
        <f>'Year 2'!AF40</f>
        <v>5</v>
      </c>
      <c r="AG40" s="840">
        <f>'Year 2'!AG40</f>
        <v>5</v>
      </c>
      <c r="AH40" s="840">
        <f>'Year 2'!AH40</f>
        <v>5</v>
      </c>
      <c r="AI40" s="831"/>
      <c r="AJ40" s="841">
        <f>IF(AND('Year 1'!$B40=$AD$25),$AG$25,IF(AND('Year 1'!$B40=$AD$26),$AG$26,IF(AND('Year 1'!$B40=$AD$27),$AG$27,IF(AND('Year 1'!$B40=$AD$28),$AG$28,IF(AND('Year 1'!$B40=$AD$29),$AG$29,0)))))</f>
        <v>0</v>
      </c>
      <c r="AK40" s="841">
        <f>IF(AND('Year 1'!$B40=$AD$37),$AG$37,IF(AND('Year 1'!$B40=$AD$38),$AG$38,IF(AND('Year 1'!$B40=$AD$39),$AG$39,IF(AND('Year 1'!$B40=$AD$40),$AG$40,IF(AND('Year 1'!$B40=$AD$41),$AG$41,0)))))</f>
        <v>0</v>
      </c>
      <c r="AL40" s="841">
        <f>IF(AND('Year 1'!$B40=$AD$48),$AG$48,IF(AND('Year 1'!$B40=$AD$49),$AG$49,IF(AND('Year 1'!$B40=$AD$50),$AG$50,IF(AND('Year 1'!$B40=$AD$51),$AG$51,IF(AND('Year 1'!$B40=$AD$52),$AG$52,0)))))</f>
        <v>0</v>
      </c>
      <c r="AM40" s="841">
        <f>IF(AND('Year 1'!$B40=$AD$60),$AG$60,IF(AND('Year 1'!$B40=$AD$61),$AG$61,IF(AND('Year 1'!$B40=$AD$62),$AG$62,IF(AND('Year 1'!$B40=$AD$63),$AG$63,IF(AND('Year 1'!$B40=$AD$64),$AG$64,0)))))</f>
        <v>0</v>
      </c>
      <c r="AN40" s="831"/>
      <c r="AO40" s="831"/>
      <c r="AP40" s="828"/>
      <c r="BE40" s="95"/>
    </row>
    <row r="41" spans="2:57" ht="13.5" customHeight="1">
      <c r="B41" s="605">
        <f>IF(AND(Subcontracts!$Z$50=1),AJ41,IF(AND(Subcontracts!$Z$50=2),AK41,IF(AND(Subcontracts!$Z$50=3),AL41,IF(AND(Subcontracts!$Z$50=4),AM41,0))))</f>
        <v>0</v>
      </c>
      <c r="C41" s="1020"/>
      <c r="D41" s="1021"/>
      <c r="E41" s="1041"/>
      <c r="F41" s="1063"/>
      <c r="G41" s="1063"/>
      <c r="H41" s="1063"/>
      <c r="I41" s="90">
        <f>IF(Subcontracts!$F$5&gt;=4,+'Year 3'!I41+('Year 3'!I41*('Year 3'!$D$2/100)),)</f>
        <v>0</v>
      </c>
      <c r="J41" s="91">
        <f>IF(Subcontracts!$F$5&gt;=4,(((I41/12)*F40)+((I41/9)*G40)+((I41/3)*H40)),)</f>
        <v>0</v>
      </c>
      <c r="K41" s="92">
        <f>(B41/100)*J41</f>
        <v>0</v>
      </c>
      <c r="L41" s="93">
        <f>J41+K41</f>
        <v>0</v>
      </c>
      <c r="M41" s="94"/>
      <c r="N41" s="94"/>
      <c r="O41" s="95"/>
      <c r="P41" s="95"/>
      <c r="Q41" s="95"/>
      <c r="AA41" s="831"/>
      <c r="AB41" s="843" t="str">
        <f>'Year 2'!AB41</f>
        <v>IFR</v>
      </c>
      <c r="AC41" s="831"/>
      <c r="AD41" s="840">
        <f>'Year 2'!AD41</f>
        <v>57.75</v>
      </c>
      <c r="AE41" s="840">
        <f>'Year 2'!AE41</f>
        <v>59.38</v>
      </c>
      <c r="AF41" s="840">
        <f>'Year 2'!AF41</f>
        <v>61.645</v>
      </c>
      <c r="AG41" s="840">
        <f>'Year 2'!AG41</f>
        <v>64.05</v>
      </c>
      <c r="AH41" s="840">
        <f>'Year 2'!AH41</f>
        <v>64.05</v>
      </c>
      <c r="AI41" s="840"/>
      <c r="AJ41" s="841">
        <f>IF(AND('Year 1'!$B41=$AD$25),$AG$25,IF(AND('Year 1'!$B41=$AD$26),$AG$26,IF(AND('Year 1'!$B41=$AD$27),$AG$27,IF(AND('Year 1'!$B41=$AD$28),$AG$28,IF(AND('Year 1'!$B41=$AD$29),$AG$29,0)))))</f>
        <v>0</v>
      </c>
      <c r="AK41" s="841">
        <f>IF(AND('Year 1'!$B41=$AD$37),$AG$37,IF(AND('Year 1'!$B41=$AD$38),$AG$38,IF(AND('Year 1'!$B41=$AD$39),$AG$39,IF(AND('Year 1'!$B41=$AD$40),$AG$40,IF(AND('Year 1'!$B41=$AD$41),$AG$41,0)))))</f>
        <v>0</v>
      </c>
      <c r="AL41" s="841">
        <f>IF(AND('Year 1'!$B41=$AD$48),$AG$48,IF(AND('Year 1'!$B41=$AD$49),$AG$49,IF(AND('Year 1'!$B41=$AD$50),$AG$50,IF(AND('Year 1'!$B41=$AD$51),$AG$51,IF(AND('Year 1'!$B41=$AD$52),$AG$52,0)))))</f>
        <v>0</v>
      </c>
      <c r="AM41" s="841">
        <f>IF(AND('Year 1'!$B41=$AD$60),$AG$60,IF(AND('Year 1'!$B41=$AD$61),$AG$61,IF(AND('Year 1'!$B41=$AD$62),$AG$62,IF(AND('Year 1'!$B41=$AD$63),$AG$63,IF(AND('Year 1'!$B41=$AD$64),$AG$64,0)))))</f>
        <v>0</v>
      </c>
      <c r="AN41" s="840"/>
      <c r="AO41" s="840"/>
      <c r="AP41" s="828"/>
      <c r="BE41" s="95"/>
    </row>
    <row r="42" spans="2:42" ht="13.5" customHeight="1">
      <c r="B42" s="606"/>
      <c r="C42" s="1018">
        <f>IF(Subcontracts!$F$5=0,"",IF(Subcontracts!$F$5&gt;=4,+'Year 3'!C42:D43,""))</f>
        <v>0</v>
      </c>
      <c r="D42" s="1019"/>
      <c r="E42" s="1040">
        <f>IF(Subcontracts!$F$5=0,"",IF(Subcontracts!$F$5&gt;=4,+'Year 3'!E42:E43,""))</f>
        <v>0</v>
      </c>
      <c r="F42" s="1062">
        <f>IF(Subcontracts!$F$5=0,"",IF(Subcontracts!$F$5&gt;=4,+'Year 3'!F42:F43,""))</f>
        <v>0</v>
      </c>
      <c r="G42" s="1062">
        <f>IF(Subcontracts!$F$5=0,"",IF(Subcontracts!$F$5&gt;=4,+'Year 3'!G42:G43,""))</f>
        <v>0</v>
      </c>
      <c r="H42" s="1064">
        <f>IF(Subcontracts!$F$5=0,"",IF(Subcontracts!$F$5&gt;=4,+'Year 3'!H42:H43,""))</f>
        <v>0</v>
      </c>
      <c r="I42" s="97"/>
      <c r="J42" s="87"/>
      <c r="K42" s="87"/>
      <c r="L42" s="88"/>
      <c r="M42" s="101"/>
      <c r="N42" s="101"/>
      <c r="O42" s="102"/>
      <c r="P42" s="95"/>
      <c r="Q42" s="95"/>
      <c r="AA42" s="831"/>
      <c r="AB42" s="843" t="str">
        <f>'Year 2'!AB42</f>
        <v>F&amp;A</v>
      </c>
      <c r="AC42" s="831"/>
      <c r="AD42" s="840">
        <f>'Year 2'!AD42</f>
        <v>59.5</v>
      </c>
      <c r="AE42" s="840">
        <f>'Year 2'!AE42</f>
        <v>59.5</v>
      </c>
      <c r="AF42" s="840">
        <f>'Year 2'!AF42</f>
        <v>59.5</v>
      </c>
      <c r="AG42" s="840">
        <f>'Year 2'!AG42</f>
        <v>59.5</v>
      </c>
      <c r="AH42" s="840">
        <f>'Year 2'!AH42</f>
        <v>59.5</v>
      </c>
      <c r="AI42" s="831"/>
      <c r="AJ42" s="841">
        <f>IF(AND('Year 1'!$B42=$AD$25),$AG$25,IF(AND('Year 1'!$B42=$AD$26),$AG$26,IF(AND('Year 1'!$B42=$AD$27),$AG$27,IF(AND('Year 1'!$B42=$AD$28),$AG$28,IF(AND('Year 1'!$B42=$AD$29),$AG$29,0)))))</f>
        <v>0</v>
      </c>
      <c r="AK42" s="841">
        <f>IF(AND('Year 1'!$B42=$AD$37),$AG$37,IF(AND('Year 1'!$B42=$AD$38),$AG$38,IF(AND('Year 1'!$B42=$AD$39),$AG$39,IF(AND('Year 1'!$B42=$AD$40),$AG$40,IF(AND('Year 1'!$B42=$AD$41),$AG$41,0)))))</f>
        <v>0</v>
      </c>
      <c r="AL42" s="841">
        <f>IF(AND('Year 1'!$B42=$AD$48),$AG$48,IF(AND('Year 1'!$B42=$AD$49),$AG$49,IF(AND('Year 1'!$B42=$AD$50),$AG$50,IF(AND('Year 1'!$B42=$AD$51),$AG$51,IF(AND('Year 1'!$B42=$AD$52),$AG$52,0)))))</f>
        <v>0</v>
      </c>
      <c r="AM42" s="841">
        <f>IF(AND('Year 1'!$B42=$AD$60),$AG$60,IF(AND('Year 1'!$B42=$AD$61),$AG$61,IF(AND('Year 1'!$B42=$AD$62),$AG$62,IF(AND('Year 1'!$B42=$AD$63),$AG$63,IF(AND('Year 1'!$B42=$AD$64),$AG$64,0)))))</f>
        <v>0</v>
      </c>
      <c r="AN42" s="831"/>
      <c r="AO42" s="831"/>
      <c r="AP42" s="828"/>
    </row>
    <row r="43" spans="2:42" ht="13.5" customHeight="1">
      <c r="B43" s="605">
        <f>IF(AND(Subcontracts!$Z$50=1),AJ43,IF(AND(Subcontracts!$Z$50=2),AK43,IF(AND(Subcontracts!$Z$50=3),AL43,IF(AND(Subcontracts!$Z$50=4),AM43,0))))</f>
        <v>0</v>
      </c>
      <c r="C43" s="1020"/>
      <c r="D43" s="1021"/>
      <c r="E43" s="1045"/>
      <c r="F43" s="1063"/>
      <c r="G43" s="1063"/>
      <c r="H43" s="1063"/>
      <c r="I43" s="99">
        <f>IF(Subcontracts!$F$5&gt;=4,+'Year 3'!I43+('Year 3'!I43*('Year 3'!$D$2/100)),)</f>
        <v>0</v>
      </c>
      <c r="J43" s="91">
        <f>IF(Subcontracts!$F$5&gt;=4,(((I43/12)*F42)+((I43/9)*G42)+((I43/3)*H42)),)</f>
        <v>0</v>
      </c>
      <c r="K43" s="92">
        <f>(B43/100)*J43</f>
        <v>0</v>
      </c>
      <c r="L43" s="93">
        <f>J43+K43</f>
        <v>0</v>
      </c>
      <c r="N43" s="94"/>
      <c r="O43" s="95"/>
      <c r="P43" s="95"/>
      <c r="Q43" s="95"/>
      <c r="AA43" s="831"/>
      <c r="AB43" s="843">
        <f>'Year 2'!AB43</f>
        <v>0</v>
      </c>
      <c r="AC43" s="831"/>
      <c r="AD43" s="840">
        <f>'Year 2'!AD43</f>
        <v>0</v>
      </c>
      <c r="AE43" s="840">
        <f>'Year 2'!AE43</f>
        <v>0</v>
      </c>
      <c r="AF43" s="840">
        <f>'Year 2'!AF43</f>
        <v>0</v>
      </c>
      <c r="AG43" s="840">
        <f>'Year 2'!AG43</f>
        <v>0</v>
      </c>
      <c r="AH43" s="840">
        <f>'Year 2'!AH43</f>
        <v>0</v>
      </c>
      <c r="AI43" s="840"/>
      <c r="AJ43" s="841">
        <f>IF(AND('Year 1'!$B43=$AD$25),$AG$25,IF(AND('Year 1'!$B43=$AD$26),$AG$26,IF(AND('Year 1'!$B43=$AD$27),$AG$27,IF(AND('Year 1'!$B43=$AD$28),$AG$28,IF(AND('Year 1'!$B43=$AD$29),$AG$29,0)))))</f>
        <v>0</v>
      </c>
      <c r="AK43" s="841">
        <f>IF(AND('Year 1'!$B43=$AD$37),$AG$37,IF(AND('Year 1'!$B43=$AD$38),$AG$38,IF(AND('Year 1'!$B43=$AD$39),$AG$39,IF(AND('Year 1'!$B43=$AD$40),$AG$40,IF(AND('Year 1'!$B43=$AD$41),$AG$41,0)))))</f>
        <v>0</v>
      </c>
      <c r="AL43" s="841">
        <f>IF(AND('Year 1'!$B43=$AD$48),$AG$48,IF(AND('Year 1'!$B43=$AD$49),$AG$49,IF(AND('Year 1'!$B43=$AD$50),$AG$50,IF(AND('Year 1'!$B43=$AD$51),$AG$51,IF(AND('Year 1'!$B43=$AD$52),$AG$52,0)))))</f>
        <v>0</v>
      </c>
      <c r="AM43" s="841">
        <f>IF(AND('Year 1'!$B43=$AD$60),$AG$60,IF(AND('Year 1'!$B43=$AD$61),$AG$61,IF(AND('Year 1'!$B43=$AD$62),$AG$62,IF(AND('Year 1'!$B43=$AD$63),$AG$63,IF(AND('Year 1'!$B43=$AD$64),$AG$64,0)))))</f>
        <v>0</v>
      </c>
      <c r="AN43" s="840"/>
      <c r="AO43" s="840"/>
      <c r="AP43" s="828"/>
    </row>
    <row r="44" spans="2:42" ht="13.5" customHeight="1">
      <c r="B44" s="606"/>
      <c r="C44" s="1018">
        <f>IF(Subcontracts!$F$5=0,"",IF(Subcontracts!$F$5&gt;=4,+'Year 3'!C44:D45,""))</f>
        <v>0</v>
      </c>
      <c r="D44" s="1019"/>
      <c r="E44" s="1044">
        <f>IF(Subcontracts!$F$5=0,"",IF(Subcontracts!$F$5&gt;=4,+'Year 3'!E44:E45,""))</f>
        <v>0</v>
      </c>
      <c r="F44" s="1062">
        <f>IF(Subcontracts!$F$5=0,"",IF(Subcontracts!$F$5&gt;=4,+'Year 3'!F44:F45,""))</f>
        <v>0</v>
      </c>
      <c r="G44" s="1062">
        <f>IF(Subcontracts!$F$5=0,"",IF(Subcontracts!$F$5&gt;=4,+'Year 3'!G44:G45,""))</f>
        <v>0</v>
      </c>
      <c r="H44" s="1064">
        <f>IF(Subcontracts!$F$5=0,"",IF(Subcontracts!$F$5&gt;=4,+'Year 3'!H44:H45,""))</f>
        <v>0</v>
      </c>
      <c r="I44" s="97"/>
      <c r="J44" s="87"/>
      <c r="K44" s="87"/>
      <c r="L44" s="88"/>
      <c r="M44" s="50"/>
      <c r="N44" s="101"/>
      <c r="O44" s="102"/>
      <c r="P44" s="102"/>
      <c r="Q44" s="102"/>
      <c r="R44" s="50"/>
      <c r="S44" s="50"/>
      <c r="T44" s="50"/>
      <c r="U44" s="50"/>
      <c r="V44" s="50"/>
      <c r="W44" s="50"/>
      <c r="X44" s="50"/>
      <c r="Y44" s="50"/>
      <c r="Z44" s="50"/>
      <c r="AA44" s="842"/>
      <c r="AB44" s="843">
        <f>'Year 2'!AB44</f>
        <v>0</v>
      </c>
      <c r="AC44" s="831"/>
      <c r="AD44" s="840">
        <f>'Year 2'!AD44</f>
        <v>0</v>
      </c>
      <c r="AE44" s="840">
        <f>'Year 2'!AE44</f>
        <v>0</v>
      </c>
      <c r="AF44" s="840">
        <f>'Year 2'!AF44</f>
        <v>0</v>
      </c>
      <c r="AG44" s="840">
        <f>'Year 2'!AG44</f>
        <v>0</v>
      </c>
      <c r="AH44" s="840">
        <f>'Year 2'!AH44</f>
        <v>0</v>
      </c>
      <c r="AI44" s="831"/>
      <c r="AJ44" s="841">
        <f>IF(AND('Year 1'!$B44=$AD$25),$AG$25,IF(AND('Year 1'!$B44=$AD$26),$AG$26,IF(AND('Year 1'!$B44=$AD$27),$AG$27,IF(AND('Year 1'!$B44=$AD$28),$AG$28,IF(AND('Year 1'!$B44=$AD$29),$AG$29,0)))))</f>
        <v>0</v>
      </c>
      <c r="AK44" s="841">
        <f>IF(AND('Year 1'!$B44=$AD$37),$AG$37,IF(AND('Year 1'!$B44=$AD$38),$AG$38,IF(AND('Year 1'!$B44=$AD$39),$AG$39,IF(AND('Year 1'!$B44=$AD$40),$AG$40,IF(AND('Year 1'!$B44=$AD$41),$AG$41,0)))))</f>
        <v>0</v>
      </c>
      <c r="AL44" s="841">
        <f>IF(AND('Year 1'!$B44=$AD$48),$AG$48,IF(AND('Year 1'!$B44=$AD$49),$AG$49,IF(AND('Year 1'!$B44=$AD$50),$AG$50,IF(AND('Year 1'!$B44=$AD$51),$AG$51,IF(AND('Year 1'!$B44=$AD$52),$AG$52,0)))))</f>
        <v>0</v>
      </c>
      <c r="AM44" s="841">
        <f>IF(AND('Year 1'!$B44=$AD$60),$AG$60,IF(AND('Year 1'!$B44=$AD$61),$AG$61,IF(AND('Year 1'!$B44=$AD$62),$AG$62,IF(AND('Year 1'!$B44=$AD$63),$AG$63,IF(AND('Year 1'!$B44=$AD$64),$AG$64,0)))))</f>
        <v>0</v>
      </c>
      <c r="AN44" s="831"/>
      <c r="AO44" s="831"/>
      <c r="AP44" s="828"/>
    </row>
    <row r="45" spans="2:42" ht="13.5" customHeight="1">
      <c r="B45" s="605">
        <f>IF(AND(Subcontracts!$Z$50=1),AJ45,IF(AND(Subcontracts!$Z$50=2),AK45,IF(AND(Subcontracts!$Z$50=3),AL45,IF(AND(Subcontracts!$Z$50=4),AM45,0))))</f>
        <v>0</v>
      </c>
      <c r="C45" s="1020"/>
      <c r="D45" s="1021"/>
      <c r="E45" s="1045"/>
      <c r="F45" s="1063"/>
      <c r="G45" s="1063"/>
      <c r="H45" s="1063"/>
      <c r="I45" s="99">
        <f>IF(Subcontracts!$F$5&gt;=4,+'Year 3'!I45+('Year 3'!I45*('Year 3'!$D$2/100)),)</f>
        <v>0</v>
      </c>
      <c r="J45" s="91">
        <f>IF(Subcontracts!$F$5&gt;=4,(((I45/12)*F44)+((I45/9)*G44)+((I45/3)*H44)),)</f>
        <v>0</v>
      </c>
      <c r="K45" s="92">
        <f>(B45/100)*J45</f>
        <v>0</v>
      </c>
      <c r="L45" s="93">
        <f>J45+K45</f>
        <v>0</v>
      </c>
      <c r="N45" s="94"/>
      <c r="O45" s="95"/>
      <c r="P45" s="95"/>
      <c r="Q45" s="95"/>
      <c r="AA45" s="831"/>
      <c r="AB45" s="843" t="str">
        <f>'Year 2'!AB45</f>
        <v>number 3</v>
      </c>
      <c r="AC45" s="831"/>
      <c r="AD45" s="840">
        <f>'Year 2'!AD45</f>
        <v>0</v>
      </c>
      <c r="AE45" s="840">
        <f>'Year 2'!AE45</f>
        <v>0</v>
      </c>
      <c r="AF45" s="840">
        <f>'Year 2'!AF45</f>
        <v>0</v>
      </c>
      <c r="AG45" s="840">
        <f>'Year 2'!AG45</f>
        <v>0</v>
      </c>
      <c r="AH45" s="840">
        <f>'Year 2'!AH45</f>
        <v>0</v>
      </c>
      <c r="AI45" s="840"/>
      <c r="AJ45" s="841">
        <f>IF(AND('Year 1'!$B45=$AD$25),$AG$25,IF(AND('Year 1'!$B45=$AD$26),$AG$26,IF(AND('Year 1'!$B45=$AD$27),$AG$27,IF(AND('Year 1'!$B45=$AD$28),$AG$28,IF(AND('Year 1'!$B45=$AD$29),$AG$29,0)))))</f>
        <v>0</v>
      </c>
      <c r="AK45" s="841">
        <f>IF(AND('Year 1'!$B45=$AD$37),$AG$37,IF(AND('Year 1'!$B45=$AD$38),$AG$38,IF(AND('Year 1'!$B45=$AD$39),$AG$39,IF(AND('Year 1'!$B45=$AD$40),$AG$40,IF(AND('Year 1'!$B45=$AD$41),$AG$41,0)))))</f>
        <v>0</v>
      </c>
      <c r="AL45" s="841">
        <f>IF(AND('Year 1'!$B45=$AD$48),$AG$48,IF(AND('Year 1'!$B45=$AD$49),$AG$49,IF(AND('Year 1'!$B45=$AD$50),$AG$50,IF(AND('Year 1'!$B45=$AD$51),$AG$51,IF(AND('Year 1'!$B45=$AD$52),$AG$52,0)))))</f>
        <v>0</v>
      </c>
      <c r="AM45" s="841">
        <f>IF(AND('Year 1'!$B45=$AD$60),$AG$60,IF(AND('Year 1'!$B45=$AD$61),$AG$61,IF(AND('Year 1'!$B45=$AD$62),$AG$62,IF(AND('Year 1'!$B45=$AD$63),$AG$63,IF(AND('Year 1'!$B45=$AD$64),$AG$64,0)))))</f>
        <v>0</v>
      </c>
      <c r="AN45" s="840"/>
      <c r="AO45" s="840"/>
      <c r="AP45" s="828"/>
    </row>
    <row r="46" spans="2:42" ht="13.5" customHeight="1">
      <c r="B46" s="606"/>
      <c r="C46" s="1018">
        <f>IF(Subcontracts!$F$5=0,"",IF(Subcontracts!$F$5&gt;=4,+'Year 3'!C46:D47,""))</f>
        <v>0</v>
      </c>
      <c r="D46" s="1019"/>
      <c r="E46" s="1044">
        <f>IF(Subcontracts!$F$5=0,"",IF(Subcontracts!$F$5&gt;=4,+'Year 3'!E46:E47,""))</f>
        <v>0</v>
      </c>
      <c r="F46" s="1062">
        <f>IF(Subcontracts!$F$5=0,"",IF(Subcontracts!$F$5&gt;=4,+'Year 3'!F46:F47,""))</f>
        <v>0</v>
      </c>
      <c r="G46" s="1062">
        <f>IF(Subcontracts!$F$5=0,"",IF(Subcontracts!$F$5&gt;=4,+'Year 3'!G46:G47,""))</f>
        <v>0</v>
      </c>
      <c r="H46" s="1064">
        <f>IF(Subcontracts!$F$5=0,"",IF(Subcontracts!$F$5&gt;=4,+'Year 3'!H46:H47,""))</f>
        <v>0</v>
      </c>
      <c r="I46" s="97"/>
      <c r="J46" s="87"/>
      <c r="K46" s="87"/>
      <c r="L46" s="88"/>
      <c r="N46" s="94"/>
      <c r="O46" s="95"/>
      <c r="P46" s="95"/>
      <c r="Q46" s="95"/>
      <c r="AA46" s="831"/>
      <c r="AB46" s="843" t="str">
        <f>'Year 2'!AB46</f>
        <v>year 1 start between 1/1/18 - 12/31/18</v>
      </c>
      <c r="AC46" s="831"/>
      <c r="AD46" s="840">
        <f>'Year 2'!AD46</f>
        <v>0</v>
      </c>
      <c r="AE46" s="840">
        <f>'Year 2'!AE46</f>
        <v>0</v>
      </c>
      <c r="AF46" s="840">
        <f>'Year 2'!AF46</f>
        <v>0</v>
      </c>
      <c r="AG46" s="840">
        <f>'Year 2'!AG46</f>
        <v>0</v>
      </c>
      <c r="AH46" s="840">
        <f>'Year 2'!AH46</f>
        <v>0</v>
      </c>
      <c r="AI46" s="831"/>
      <c r="AJ46" s="841">
        <f>IF(AND('Year 1'!$B46=$AD$25),$AG$25,IF(AND('Year 1'!$B46=$AD$26),$AG$26,IF(AND('Year 1'!$B46=$AD$27),$AG$27,IF(AND('Year 1'!$B46=$AD$28),$AG$28,IF(AND('Year 1'!$B46=$AD$29),$AG$29,0)))))</f>
        <v>0</v>
      </c>
      <c r="AK46" s="841">
        <f>IF(AND('Year 1'!$B46=$AD$37),$AG$37,IF(AND('Year 1'!$B46=$AD$38),$AG$38,IF(AND('Year 1'!$B46=$AD$39),$AG$39,IF(AND('Year 1'!$B46=$AD$40),$AG$40,IF(AND('Year 1'!$B46=$AD$41),$AG$41,0)))))</f>
        <v>0</v>
      </c>
      <c r="AL46" s="841">
        <f>IF(AND('Year 1'!$B46=$AD$48),$AG$48,IF(AND('Year 1'!$B46=$AD$49),$AG$49,IF(AND('Year 1'!$B46=$AD$50),$AG$50,IF(AND('Year 1'!$B46=$AD$51),$AG$51,IF(AND('Year 1'!$B46=$AD$52),$AG$52,0)))))</f>
        <v>0</v>
      </c>
      <c r="AM46" s="841">
        <f>IF(AND('Year 1'!$B46=$AD$60),$AG$60,IF(AND('Year 1'!$B46=$AD$61),$AG$61,IF(AND('Year 1'!$B46=$AD$62),$AG$62,IF(AND('Year 1'!$B46=$AD$63),$AG$63,IF(AND('Year 1'!$B46=$AD$64),$AG$64,0)))))</f>
        <v>0</v>
      </c>
      <c r="AN46" s="831"/>
      <c r="AO46" s="831"/>
      <c r="AP46" s="828"/>
    </row>
    <row r="47" spans="2:42" ht="13.5" customHeight="1">
      <c r="B47" s="605">
        <f>IF(AND(Subcontracts!$Z$50=1),AJ47,IF(AND(Subcontracts!$Z$50=2),AK47,IF(AND(Subcontracts!$Z$50=3),AL47,IF(AND(Subcontracts!$Z$50=4),AM47,0))))</f>
        <v>0</v>
      </c>
      <c r="C47" s="1020"/>
      <c r="D47" s="1021"/>
      <c r="E47" s="1045"/>
      <c r="F47" s="1063"/>
      <c r="G47" s="1063"/>
      <c r="H47" s="1063"/>
      <c r="I47" s="99">
        <f>IF(Subcontracts!$F$5&gt;=4,+'Year 3'!I47+('Year 3'!I47*('Year 3'!$D$2/100)),)</f>
        <v>0</v>
      </c>
      <c r="J47" s="91">
        <f>IF(Subcontracts!$F$5&gt;=4,(((I47/12)*F46)+((I47/9)*G46)+((I47/3)*H46)),)</f>
        <v>0</v>
      </c>
      <c r="K47" s="92">
        <f>(B47/100)*J47</f>
        <v>0</v>
      </c>
      <c r="L47" s="93">
        <f>J47+K47</f>
        <v>0</v>
      </c>
      <c r="N47" s="94"/>
      <c r="O47" s="95"/>
      <c r="P47" s="95"/>
      <c r="Q47" s="95"/>
      <c r="AA47" s="831"/>
      <c r="AB47" s="843">
        <f>'Year 2'!AB47</f>
        <v>0</v>
      </c>
      <c r="AC47" s="831"/>
      <c r="AD47" s="840" t="str">
        <f>'Year 2'!AD47</f>
        <v>year 1</v>
      </c>
      <c r="AE47" s="840" t="str">
        <f>'Year 2'!AE47</f>
        <v>year 2</v>
      </c>
      <c r="AF47" s="840" t="str">
        <f>'Year 2'!AF47</f>
        <v>year 3</v>
      </c>
      <c r="AG47" s="840" t="str">
        <f>'Year 2'!AG47</f>
        <v>year 4</v>
      </c>
      <c r="AH47" s="840" t="str">
        <f>'Year 2'!AH47</f>
        <v>year 5</v>
      </c>
      <c r="AI47" s="840"/>
      <c r="AJ47" s="841">
        <f>IF(AND('Year 1'!$B47=$AD$25),$AG$25,IF(AND('Year 1'!$B47=$AD$26),$AG$26,IF(AND('Year 1'!$B47=$AD$27),$AG$27,IF(AND('Year 1'!$B47=$AD$28),$AG$28,IF(AND('Year 1'!$B47=$AD$29),$AG$29,0)))))</f>
        <v>0</v>
      </c>
      <c r="AK47" s="841">
        <f>IF(AND('Year 1'!$B47=$AD$37),$AG$37,IF(AND('Year 1'!$B47=$AD$38),$AG$38,IF(AND('Year 1'!$B47=$AD$39),$AG$39,IF(AND('Year 1'!$B47=$AD$40),$AG$40,IF(AND('Year 1'!$B47=$AD$41),$AG$41,0)))))</f>
        <v>0</v>
      </c>
      <c r="AL47" s="841">
        <f>IF(AND('Year 1'!$B47=$AD$48),$AG$48,IF(AND('Year 1'!$B47=$AD$49),$AG$49,IF(AND('Year 1'!$B47=$AD$50),$AG$50,IF(AND('Year 1'!$B47=$AD$51),$AG$51,IF(AND('Year 1'!$B47=$AD$52),$AG$52,0)))))</f>
        <v>0</v>
      </c>
      <c r="AM47" s="841">
        <f>IF(AND('Year 1'!$B47=$AD$60),$AG$60,IF(AND('Year 1'!$B47=$AD$61),$AG$61,IF(AND('Year 1'!$B47=$AD$62),$AG$62,IF(AND('Year 1'!$B47=$AD$63),$AG$63,IF(AND('Year 1'!$B47=$AD$64),$AG$64,0)))))</f>
        <v>0</v>
      </c>
      <c r="AN47" s="840"/>
      <c r="AO47" s="840"/>
      <c r="AP47" s="828"/>
    </row>
    <row r="48" spans="2:42" ht="13.5" customHeight="1">
      <c r="B48" s="606"/>
      <c r="C48" s="1018">
        <f>IF(Subcontracts!$F$5=0,"",IF(Subcontracts!$F$5&gt;=4,+'Year 3'!C48:D49,""))</f>
        <v>0</v>
      </c>
      <c r="D48" s="1019"/>
      <c r="E48" s="1044">
        <f>IF(Subcontracts!$F$5=0,"",IF(Subcontracts!$F$5&gt;=4,+'Year 3'!E48:E49,""))</f>
        <v>0</v>
      </c>
      <c r="F48" s="1062">
        <f>IF(Subcontracts!$F$5=0,"",IF(Subcontracts!$F$5&gt;=4,+'Year 3'!F48:F49,""))</f>
        <v>0</v>
      </c>
      <c r="G48" s="1062">
        <f>IF(Subcontracts!$F$5=0,"",IF(Subcontracts!$F$5&gt;=4,+'Year 3'!G48:G49,""))</f>
        <v>0</v>
      </c>
      <c r="H48" s="1064">
        <f>IF(Subcontracts!$F$5=0,"",IF(Subcontracts!$F$5&gt;=4,+'Year 3'!H48:H49,""))</f>
        <v>0</v>
      </c>
      <c r="I48" s="97"/>
      <c r="J48" s="87"/>
      <c r="K48" s="87"/>
      <c r="L48" s="88"/>
      <c r="M48" s="95"/>
      <c r="N48" s="95"/>
      <c r="O48" s="95"/>
      <c r="P48" s="95"/>
      <c r="Q48" s="95"/>
      <c r="AA48" s="831"/>
      <c r="AB48" s="843" t="str">
        <f>'Year 2'!AB48</f>
        <v>RF</v>
      </c>
      <c r="AC48" s="831"/>
      <c r="AD48" s="840">
        <f>'Year 2'!AD48</f>
        <v>47.5</v>
      </c>
      <c r="AE48" s="840">
        <f>'Year 2'!AE48</f>
        <v>49</v>
      </c>
      <c r="AF48" s="840">
        <f>'Year 2'!AF48</f>
        <v>49</v>
      </c>
      <c r="AG48" s="840">
        <f>'Year 2'!AG48</f>
        <v>49</v>
      </c>
      <c r="AH48" s="840">
        <f>'Year 2'!AH48</f>
        <v>49</v>
      </c>
      <c r="AI48" s="831"/>
      <c r="AJ48" s="841">
        <f>IF(AND('Year 1'!$B48=$AD$25),$AG$25,IF(AND('Year 1'!$B48=$AD$26),$AG$26,IF(AND('Year 1'!$B48=$AD$27),$AG$27,IF(AND('Year 1'!$B48=$AD$28),$AG$28,IF(AND('Year 1'!$B48=$AD$29),$AG$29,0)))))</f>
        <v>0</v>
      </c>
      <c r="AK48" s="841">
        <f>IF(AND('Year 1'!$B48=$AD$37),$AG$37,IF(AND('Year 1'!$B48=$AD$38),$AG$38,IF(AND('Year 1'!$B48=$AD$39),$AG$39,IF(AND('Year 1'!$B48=$AD$40),$AG$40,IF(AND('Year 1'!$B48=$AD$41),$AG$41,0)))))</f>
        <v>0</v>
      </c>
      <c r="AL48" s="841">
        <f>IF(AND('Year 1'!$B48=$AD$48),$AG$48,IF(AND('Year 1'!$B48=$AD$49),$AG$49,IF(AND('Year 1'!$B48=$AD$50),$AG$50,IF(AND('Year 1'!$B48=$AD$51),$AG$51,IF(AND('Year 1'!$B48=$AD$52),$AG$52,0)))))</f>
        <v>0</v>
      </c>
      <c r="AM48" s="841">
        <f>IF(AND('Year 1'!$B48=$AD$60),$AG$60,IF(AND('Year 1'!$B48=$AD$61),$AG$61,IF(AND('Year 1'!$B48=$AD$62),$AG$62,IF(AND('Year 1'!$B48=$AD$63),$AG$63,IF(AND('Year 1'!$B48=$AD$64),$AG$64,0)))))</f>
        <v>0</v>
      </c>
      <c r="AN48" s="831"/>
      <c r="AO48" s="831"/>
      <c r="AP48" s="828"/>
    </row>
    <row r="49" spans="2:42" ht="13.5" customHeight="1" thickBot="1">
      <c r="B49" s="605">
        <f>IF(AND(Subcontracts!$Z$50=1),AJ49,IF(AND(Subcontracts!$Z$50=2),AK49,IF(AND(Subcontracts!$Z$50=3),AL49,IF(AND(Subcontracts!$Z$50=4),AM49,0))))</f>
        <v>0</v>
      </c>
      <c r="C49" s="1020"/>
      <c r="D49" s="1021"/>
      <c r="E49" s="1045"/>
      <c r="F49" s="1063"/>
      <c r="G49" s="1063"/>
      <c r="H49" s="1063"/>
      <c r="I49" s="90">
        <f>IF(Subcontracts!$F$5&gt;=4,+'Year 3'!I49+('Year 3'!I49*('Year 3'!$D$2/100)),)</f>
        <v>0</v>
      </c>
      <c r="J49" s="91">
        <f>IF(Subcontracts!$F$5&gt;=4,(((I49/12)*F48)+((I49/9)*G48)+((I49/3)*H48)),)</f>
        <v>0</v>
      </c>
      <c r="K49" s="92">
        <f>(B49/100)*J49</f>
        <v>0</v>
      </c>
      <c r="L49" s="93">
        <f>J49+K49</f>
        <v>0</v>
      </c>
      <c r="M49" s="95"/>
      <c r="N49" s="95"/>
      <c r="O49" s="95"/>
      <c r="P49" s="95"/>
      <c r="Q49" s="95"/>
      <c r="AA49" s="831"/>
      <c r="AB49" s="843" t="str">
        <f>'Year 2'!AB49</f>
        <v>IFR Summer</v>
      </c>
      <c r="AC49" s="831"/>
      <c r="AD49" s="840">
        <f>'Year 2'!AD49</f>
        <v>15</v>
      </c>
      <c r="AE49" s="840">
        <f>'Year 2'!AE49</f>
        <v>15</v>
      </c>
      <c r="AF49" s="840">
        <f>'Year 2'!AF49</f>
        <v>15</v>
      </c>
      <c r="AG49" s="840">
        <f>'Year 2'!AG49</f>
        <v>15</v>
      </c>
      <c r="AH49" s="840">
        <f>'Year 2'!AH49</f>
        <v>15</v>
      </c>
      <c r="AI49" s="840"/>
      <c r="AJ49" s="841">
        <f>IF(AND('Year 1'!$B49=$AD$25),$AG$25,IF(AND('Year 1'!$B49=$AD$26),$AG$26,IF(AND('Year 1'!$B49=$AD$27),$AG$27,IF(AND('Year 1'!$B49=$AD$28),$AG$28,IF(AND('Year 1'!$B49=$AD$29),$AG$29,0)))))</f>
        <v>0</v>
      </c>
      <c r="AK49" s="841">
        <f>IF(AND('Year 1'!$B49=$AD$37),$AG$37,IF(AND('Year 1'!$B49=$AD$38),$AG$38,IF(AND('Year 1'!$B49=$AD$39),$AG$39,IF(AND('Year 1'!$B49=$AD$40),$AG$40,IF(AND('Year 1'!$B49=$AD$41),$AG$41,0)))))</f>
        <v>0</v>
      </c>
      <c r="AL49" s="841">
        <f>IF(AND('Year 1'!$B49=$AD$48),$AG$48,IF(AND('Year 1'!$B49=$AD$49),$AG$49,IF(AND('Year 1'!$B49=$AD$50),$AG$50,IF(AND('Year 1'!$B49=$AD$51),$AG$51,IF(AND('Year 1'!$B49=$AD$52),$AG$52,0)))))</f>
        <v>0</v>
      </c>
      <c r="AM49" s="841">
        <f>IF(AND('Year 1'!$B49=$AD$60),$AG$60,IF(AND('Year 1'!$B49=$AD$61),$AG$61,IF(AND('Year 1'!$B49=$AD$62),$AG$62,IF(AND('Year 1'!$B49=$AD$63),$AG$63,IF(AND('Year 1'!$B49=$AD$64),$AG$64,0)))))</f>
        <v>0</v>
      </c>
      <c r="AN49" s="840"/>
      <c r="AO49" s="840"/>
      <c r="AP49" s="828"/>
    </row>
    <row r="50" spans="2:42" ht="21" customHeight="1" thickBot="1">
      <c r="B50" s="289"/>
      <c r="C50" s="75"/>
      <c r="D50" s="75"/>
      <c r="E50" s="627" t="s">
        <v>70</v>
      </c>
      <c r="F50" s="49"/>
      <c r="G50" s="104"/>
      <c r="H50" s="104"/>
      <c r="I50" s="75"/>
      <c r="J50" s="105">
        <f>SUM(J21:J49)</f>
        <v>0</v>
      </c>
      <c r="K50" s="105">
        <f>SUM(K21:K49)</f>
        <v>0</v>
      </c>
      <c r="L50" s="106">
        <f>SUM(L21:L49)</f>
        <v>0</v>
      </c>
      <c r="AA50" s="831"/>
      <c r="AB50" s="843" t="str">
        <f>'Year 2'!AB50</f>
        <v>Graduate</v>
      </c>
      <c r="AC50" s="831"/>
      <c r="AD50" s="840">
        <f>'Year 2'!AD50</f>
        <v>16</v>
      </c>
      <c r="AE50" s="840">
        <f>'Year 2'!AE50</f>
        <v>17</v>
      </c>
      <c r="AF50" s="840">
        <f>'Year 2'!AF50</f>
        <v>17</v>
      </c>
      <c r="AG50" s="840">
        <f>'Year 2'!AG50</f>
        <v>17</v>
      </c>
      <c r="AH50" s="840">
        <f>'Year 2'!AH50</f>
        <v>17</v>
      </c>
      <c r="AI50" s="831"/>
      <c r="AJ50" s="831"/>
      <c r="AK50" s="831"/>
      <c r="AL50" s="831"/>
      <c r="AM50" s="831"/>
      <c r="AN50" s="831"/>
      <c r="AO50" s="831"/>
      <c r="AP50" s="828"/>
    </row>
    <row r="51" spans="2:42" ht="12" customHeight="1">
      <c r="B51" s="286" t="s">
        <v>80</v>
      </c>
      <c r="C51" s="107" t="s">
        <v>71</v>
      </c>
      <c r="D51" s="55"/>
      <c r="E51" s="108"/>
      <c r="F51" s="109"/>
      <c r="G51" s="109"/>
      <c r="H51" s="109"/>
      <c r="I51" s="109"/>
      <c r="J51" s="75"/>
      <c r="K51" s="75"/>
      <c r="L51" s="110"/>
      <c r="AA51" s="831"/>
      <c r="AB51" s="843" t="str">
        <f>'Year 2'!AB51</f>
        <v>Undergrad</v>
      </c>
      <c r="AC51" s="831"/>
      <c r="AD51" s="840">
        <f>'Year 2'!AD51</f>
        <v>5</v>
      </c>
      <c r="AE51" s="840">
        <f>'Year 2'!AE51</f>
        <v>5</v>
      </c>
      <c r="AF51" s="840">
        <f>'Year 2'!AF51</f>
        <v>5</v>
      </c>
      <c r="AG51" s="840">
        <f>'Year 2'!AG51</f>
        <v>5</v>
      </c>
      <c r="AH51" s="840">
        <f>'Year 2'!AH51</f>
        <v>5</v>
      </c>
      <c r="AI51" s="831"/>
      <c r="AJ51" s="831"/>
      <c r="AK51" s="831"/>
      <c r="AL51" s="831"/>
      <c r="AM51" s="831"/>
      <c r="AN51" s="831"/>
      <c r="AO51" s="831"/>
      <c r="AP51" s="828"/>
    </row>
    <row r="52" spans="2:42" ht="12.75" customHeight="1">
      <c r="B52" s="293">
        <f>Subcontracts!$C$10</f>
        <v>0</v>
      </c>
      <c r="C52" s="1006">
        <f>IF(Subcontracts!$F$5&gt;=4,+'Year 3'!C52,)</f>
        <v>0</v>
      </c>
      <c r="D52" s="1010"/>
      <c r="E52" s="111">
        <f>IF(Subcontracts!$F$5&gt;=4,+'Year 3'!E52+('Year 3'!E52*$B$52/100),)</f>
        <v>0</v>
      </c>
      <c r="F52" s="1015">
        <f>IF(Subcontracts!$F$5&gt;=4,+'Year 3'!F52,)</f>
        <v>0</v>
      </c>
      <c r="G52" s="1010"/>
      <c r="H52" s="1010"/>
      <c r="I52" s="1010"/>
      <c r="J52" s="1010"/>
      <c r="K52" s="51">
        <f>IF(Subcontracts!$F$5&gt;=4,+'Year 3'!K52+('Year 3'!K52*$B$52/100),)</f>
        <v>0</v>
      </c>
      <c r="L52" s="112"/>
      <c r="AA52" s="831"/>
      <c r="AB52" s="843" t="str">
        <f>'Year 2'!AB52</f>
        <v>IFR</v>
      </c>
      <c r="AC52" s="831"/>
      <c r="AD52" s="840">
        <f>'Year 2'!AD52</f>
        <v>59.38</v>
      </c>
      <c r="AE52" s="840">
        <f>'Year 2'!AE52</f>
        <v>61.645</v>
      </c>
      <c r="AF52" s="840">
        <f>'Year 2'!AF52</f>
        <v>64.05</v>
      </c>
      <c r="AG52" s="840">
        <f>'Year 2'!AG52</f>
        <v>64.05</v>
      </c>
      <c r="AH52" s="840">
        <f>'Year 2'!AH52</f>
        <v>64.05</v>
      </c>
      <c r="AI52" s="831"/>
      <c r="AJ52" s="831"/>
      <c r="AK52" s="831"/>
      <c r="AL52" s="831"/>
      <c r="AM52" s="831"/>
      <c r="AN52" s="831"/>
      <c r="AO52" s="831"/>
      <c r="AP52" s="828"/>
    </row>
    <row r="53" spans="2:41" ht="12.75" customHeight="1">
      <c r="B53" s="290"/>
      <c r="C53" s="1008">
        <f>IF(Subcontracts!$F$5&gt;=4,+'Year 3'!C53,)</f>
        <v>0</v>
      </c>
      <c r="D53" s="1009"/>
      <c r="E53" s="113">
        <f>IF(Subcontracts!$F$5&gt;=4,+'Year 3'!E53+('Year 3'!E53*$B$52/100),)</f>
        <v>0</v>
      </c>
      <c r="F53" s="1016">
        <f>IF(Subcontracts!$F$5&gt;=4,+'Year 3'!F53,)</f>
        <v>0</v>
      </c>
      <c r="G53" s="1009"/>
      <c r="H53" s="1009"/>
      <c r="I53" s="1009"/>
      <c r="J53" s="1009"/>
      <c r="K53" s="114">
        <f>IF(Subcontracts!$F$5&gt;=4,+'Year 3'!K53+('Year 3'!K53*$B$52/100),)</f>
        <v>0</v>
      </c>
      <c r="L53" s="115">
        <f>E52+E53+K52+K53</f>
        <v>0</v>
      </c>
      <c r="AA53" s="831"/>
      <c r="AB53" s="843" t="str">
        <f>'Year 2'!AB53</f>
        <v>F&amp;A</v>
      </c>
      <c r="AC53" s="831"/>
      <c r="AD53" s="840">
        <f>'Year 2'!AD53</f>
        <v>59.5</v>
      </c>
      <c r="AE53" s="840">
        <f>'Year 2'!AE53</f>
        <v>59.5</v>
      </c>
      <c r="AF53" s="840">
        <f>'Year 2'!AF53</f>
        <v>59.5</v>
      </c>
      <c r="AG53" s="840">
        <f>'Year 2'!AG53</f>
        <v>59.5</v>
      </c>
      <c r="AH53" s="840">
        <f>'Year 2'!AH53</f>
        <v>59.5</v>
      </c>
      <c r="AI53" s="831"/>
      <c r="AJ53" s="831"/>
      <c r="AK53" s="831"/>
      <c r="AL53" s="831"/>
      <c r="AM53" s="831"/>
      <c r="AN53" s="831"/>
      <c r="AO53" s="831"/>
    </row>
    <row r="54" spans="2:41" ht="12" customHeight="1">
      <c r="B54" s="290"/>
      <c r="C54" s="116" t="s">
        <v>152</v>
      </c>
      <c r="D54" s="117"/>
      <c r="E54" s="118"/>
      <c r="F54" s="119"/>
      <c r="G54" s="119"/>
      <c r="H54" s="119"/>
      <c r="I54" s="119"/>
      <c r="J54" s="119"/>
      <c r="K54" s="119"/>
      <c r="L54" s="11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831"/>
      <c r="AB54" s="843">
        <f>'Year 2'!AB54</f>
        <v>0</v>
      </c>
      <c r="AC54" s="831"/>
      <c r="AD54" s="840">
        <f>'Year 2'!AD54</f>
        <v>0</v>
      </c>
      <c r="AE54" s="840">
        <f>'Year 2'!AE54</f>
        <v>0</v>
      </c>
      <c r="AF54" s="840">
        <f>'Year 2'!AF54</f>
        <v>0</v>
      </c>
      <c r="AG54" s="840">
        <f>'Year 2'!AG54</f>
        <v>0</v>
      </c>
      <c r="AH54" s="840">
        <f>'Year 2'!AH54</f>
        <v>0</v>
      </c>
      <c r="AI54" s="831"/>
      <c r="AJ54" s="831"/>
      <c r="AK54" s="831"/>
      <c r="AL54" s="831"/>
      <c r="AM54" s="831"/>
      <c r="AN54" s="831"/>
      <c r="AO54" s="831"/>
    </row>
    <row r="55" spans="2:41" ht="15" customHeight="1">
      <c r="B55" s="290"/>
      <c r="C55" s="1015"/>
      <c r="D55" s="1010"/>
      <c r="E55" s="111"/>
      <c r="F55" s="1017"/>
      <c r="G55" s="1007"/>
      <c r="H55" s="1007"/>
      <c r="I55" s="1007"/>
      <c r="J55" s="1007"/>
      <c r="K55" s="111"/>
      <c r="L55" s="121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831"/>
      <c r="AB55" s="843">
        <f>'Year 2'!AB55</f>
        <v>0</v>
      </c>
      <c r="AC55" s="831"/>
      <c r="AD55" s="840">
        <f>'Year 2'!AD55</f>
        <v>0</v>
      </c>
      <c r="AE55" s="840">
        <f>'Year 2'!AE55</f>
        <v>0</v>
      </c>
      <c r="AF55" s="840">
        <f>'Year 2'!AF55</f>
        <v>0</v>
      </c>
      <c r="AG55" s="840">
        <f>'Year 2'!AG55</f>
        <v>0</v>
      </c>
      <c r="AH55" s="840">
        <f>'Year 2'!AH55</f>
        <v>0</v>
      </c>
      <c r="AI55" s="831"/>
      <c r="AJ55" s="831"/>
      <c r="AK55" s="831"/>
      <c r="AL55" s="831"/>
      <c r="AM55" s="831"/>
      <c r="AN55" s="831"/>
      <c r="AO55" s="831"/>
    </row>
    <row r="56" spans="2:41" ht="13.5" customHeight="1">
      <c r="B56" s="290"/>
      <c r="C56" s="1015"/>
      <c r="D56" s="1010"/>
      <c r="E56" s="111"/>
      <c r="F56" s="1017"/>
      <c r="G56" s="1007"/>
      <c r="H56" s="1007"/>
      <c r="I56" s="1007"/>
      <c r="J56" s="1007"/>
      <c r="K56" s="111"/>
      <c r="L56" s="112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831"/>
      <c r="AB56" s="843">
        <f>'Year 2'!AB56</f>
        <v>0</v>
      </c>
      <c r="AC56" s="831"/>
      <c r="AD56" s="840">
        <f>'Year 2'!AD56</f>
        <v>0</v>
      </c>
      <c r="AE56" s="840">
        <f>'Year 2'!AE56</f>
        <v>0</v>
      </c>
      <c r="AF56" s="840">
        <f>'Year 2'!AF56</f>
        <v>0</v>
      </c>
      <c r="AG56" s="840">
        <f>'Year 2'!AG56</f>
        <v>0</v>
      </c>
      <c r="AH56" s="840">
        <f>'Year 2'!AH56</f>
        <v>0</v>
      </c>
      <c r="AI56" s="831"/>
      <c r="AJ56" s="831"/>
      <c r="AK56" s="831"/>
      <c r="AL56" s="831"/>
      <c r="AM56" s="831"/>
      <c r="AN56" s="831"/>
      <c r="AO56" s="831"/>
    </row>
    <row r="57" spans="2:41" ht="15" customHeight="1">
      <c r="B57" s="290"/>
      <c r="C57" s="1013"/>
      <c r="D57" s="1014"/>
      <c r="E57" s="113"/>
      <c r="F57" s="1013"/>
      <c r="G57" s="1014"/>
      <c r="H57" s="1014"/>
      <c r="I57" s="1014"/>
      <c r="J57" s="1014"/>
      <c r="K57" s="113"/>
      <c r="L57" s="115">
        <f>E55+E56+E57+K55+K56+K57</f>
        <v>0</v>
      </c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831"/>
      <c r="AB57" s="843" t="str">
        <f>'Year 2'!AB57</f>
        <v>number 4</v>
      </c>
      <c r="AC57" s="831"/>
      <c r="AD57" s="840">
        <f>'Year 2'!AD57</f>
        <v>0</v>
      </c>
      <c r="AE57" s="840">
        <f>'Year 2'!AE57</f>
        <v>0</v>
      </c>
      <c r="AF57" s="840">
        <f>'Year 2'!AF57</f>
        <v>0</v>
      </c>
      <c r="AG57" s="840">
        <f>'Year 2'!AG57</f>
        <v>0</v>
      </c>
      <c r="AH57" s="840">
        <f>'Year 2'!AH57</f>
        <v>0</v>
      </c>
      <c r="AI57" s="831"/>
      <c r="AJ57" s="831"/>
      <c r="AK57" s="831"/>
      <c r="AL57" s="831"/>
      <c r="AM57" s="831"/>
      <c r="AN57" s="831"/>
      <c r="AO57" s="831"/>
    </row>
    <row r="58" spans="2:41" ht="12" customHeight="1">
      <c r="B58" s="287" t="s">
        <v>80</v>
      </c>
      <c r="C58" s="116" t="s">
        <v>149</v>
      </c>
      <c r="D58" s="65"/>
      <c r="E58" s="43"/>
      <c r="F58" s="118"/>
      <c r="G58" s="43"/>
      <c r="H58" s="43"/>
      <c r="I58" s="43"/>
      <c r="J58" s="43"/>
      <c r="K58" s="43"/>
      <c r="L58" s="110"/>
      <c r="AA58" s="831"/>
      <c r="AB58" s="843" t="str">
        <f>'Year 2'!AB58</f>
        <v>year 1 start between 1/1/19 - 12/31/19</v>
      </c>
      <c r="AC58" s="831"/>
      <c r="AD58" s="840">
        <f>'Year 2'!AD58</f>
        <v>0</v>
      </c>
      <c r="AE58" s="840">
        <f>'Year 2'!AE58</f>
        <v>0</v>
      </c>
      <c r="AF58" s="840">
        <f>'Year 2'!AF58</f>
        <v>0</v>
      </c>
      <c r="AG58" s="840">
        <f>'Year 2'!AG58</f>
        <v>0</v>
      </c>
      <c r="AH58" s="840">
        <f>'Year 2'!AH58</f>
        <v>0</v>
      </c>
      <c r="AI58" s="831"/>
      <c r="AJ58" s="831"/>
      <c r="AK58" s="831"/>
      <c r="AL58" s="831"/>
      <c r="AM58" s="831"/>
      <c r="AN58" s="831"/>
      <c r="AO58" s="831"/>
    </row>
    <row r="59" spans="2:41" ht="15" customHeight="1">
      <c r="B59" s="293">
        <f>Subcontracts!$C$10</f>
        <v>0</v>
      </c>
      <c r="C59" s="1006">
        <f>IF(Subcontracts!$F$5&gt;=4,+'Year 3'!C59,)</f>
        <v>0</v>
      </c>
      <c r="D59" s="1010"/>
      <c r="E59" s="111">
        <f>IF(Subcontracts!$F$5&gt;=4,+'Year 3'!E59+('Year 3'!E59*$B$59/100),)</f>
        <v>0</v>
      </c>
      <c r="F59" s="1006">
        <f>IF(Subcontracts!$F$5&gt;=4,+'Year 3'!F59,)</f>
        <v>0</v>
      </c>
      <c r="G59" s="1007"/>
      <c r="H59" s="1007"/>
      <c r="I59" s="1007"/>
      <c r="J59" s="1007"/>
      <c r="K59" s="111">
        <f>IF(Subcontracts!$F$5&gt;=4,+'Year 3'!K59+('Year 3'!K59*$B$59/100),)</f>
        <v>0</v>
      </c>
      <c r="L59" s="112"/>
      <c r="M59" s="49"/>
      <c r="N59" s="49"/>
      <c r="O59" s="49"/>
      <c r="P59" s="49"/>
      <c r="Q59" s="49"/>
      <c r="AA59" s="831"/>
      <c r="AB59" s="843">
        <f>'Year 2'!AB59</f>
        <v>0</v>
      </c>
      <c r="AC59" s="831"/>
      <c r="AD59" s="840" t="str">
        <f>'Year 2'!AD59</f>
        <v>year 1</v>
      </c>
      <c r="AE59" s="840" t="str">
        <f>'Year 2'!AE59</f>
        <v>year 2</v>
      </c>
      <c r="AF59" s="840" t="str">
        <f>'Year 2'!AF59</f>
        <v>year 3</v>
      </c>
      <c r="AG59" s="840" t="str">
        <f>'Year 2'!AG59</f>
        <v>year 4</v>
      </c>
      <c r="AH59" s="840" t="str">
        <f>'Year 2'!AH59</f>
        <v>year 5</v>
      </c>
      <c r="AI59" s="831"/>
      <c r="AJ59" s="831"/>
      <c r="AK59" s="831"/>
      <c r="AL59" s="831"/>
      <c r="AM59" s="831"/>
      <c r="AN59" s="831"/>
      <c r="AO59" s="831"/>
    </row>
    <row r="60" spans="2:41" ht="15" customHeight="1">
      <c r="B60" s="290"/>
      <c r="C60" s="1006">
        <f>IF(Subcontracts!$F$5&gt;=4,+'Year 3'!C60,)</f>
        <v>0</v>
      </c>
      <c r="D60" s="1010"/>
      <c r="E60" s="111">
        <f>IF(Subcontracts!$F$5&gt;=4,+'Year 3'!E60+('Year 3'!E60*$B$59/100),)</f>
        <v>0</v>
      </c>
      <c r="F60" s="1006">
        <f>IF(Subcontracts!$F$5&gt;=4,+'Year 3'!F60,)</f>
        <v>0</v>
      </c>
      <c r="G60" s="1007"/>
      <c r="H60" s="1007"/>
      <c r="I60" s="1007"/>
      <c r="J60" s="1007"/>
      <c r="K60" s="111">
        <f>IF(Subcontracts!$F$5&gt;=4,+'Year 3'!K60+('Year 3'!K60*$B$59/100),)</f>
        <v>0</v>
      </c>
      <c r="L60" s="112"/>
      <c r="AA60" s="831"/>
      <c r="AB60" s="843" t="str">
        <f>'Year 2'!AB60</f>
        <v>RF</v>
      </c>
      <c r="AC60" s="831"/>
      <c r="AD60" s="840">
        <f>'Year 2'!AD60</f>
        <v>49</v>
      </c>
      <c r="AE60" s="840">
        <f>'Year 2'!AE60</f>
        <v>49</v>
      </c>
      <c r="AF60" s="840">
        <f>'Year 2'!AF60</f>
        <v>49</v>
      </c>
      <c r="AG60" s="840">
        <f>'Year 2'!AG60</f>
        <v>49</v>
      </c>
      <c r="AH60" s="840">
        <f>'Year 2'!AH60</f>
        <v>49</v>
      </c>
      <c r="AI60" s="831"/>
      <c r="AJ60" s="831"/>
      <c r="AK60" s="831"/>
      <c r="AL60" s="831"/>
      <c r="AM60" s="831"/>
      <c r="AN60" s="831"/>
      <c r="AO60" s="831"/>
    </row>
    <row r="61" spans="2:41" ht="15.75" customHeight="1">
      <c r="B61" s="290"/>
      <c r="C61" s="1006">
        <f>IF(Subcontracts!$F$5&gt;=4,+'Year 3'!C61,)</f>
        <v>0</v>
      </c>
      <c r="D61" s="1010"/>
      <c r="E61" s="111">
        <f>IF(Subcontracts!$F$5&gt;=4,+'Year 3'!E61+('Year 3'!E61*$B$59/100),)</f>
        <v>0</v>
      </c>
      <c r="F61" s="1006">
        <f>IF(Subcontracts!$F$5&gt;=4,+'Year 3'!F61,)</f>
        <v>0</v>
      </c>
      <c r="G61" s="1007"/>
      <c r="H61" s="1007"/>
      <c r="I61" s="1007"/>
      <c r="J61" s="1007"/>
      <c r="K61" s="111">
        <f>IF(Subcontracts!$F$5&gt;=4,+'Year 3'!K61+('Year 3'!K61*$B$59/100),)</f>
        <v>0</v>
      </c>
      <c r="L61" s="121"/>
      <c r="AA61" s="831"/>
      <c r="AB61" s="843" t="str">
        <f>'Year 2'!AB61</f>
        <v>IFR Summer</v>
      </c>
      <c r="AC61" s="831"/>
      <c r="AD61" s="840">
        <f>'Year 2'!AD61</f>
        <v>15</v>
      </c>
      <c r="AE61" s="840">
        <f>'Year 2'!AE61</f>
        <v>15</v>
      </c>
      <c r="AF61" s="840">
        <f>'Year 2'!AF61</f>
        <v>15</v>
      </c>
      <c r="AG61" s="840">
        <f>'Year 2'!AG61</f>
        <v>15</v>
      </c>
      <c r="AH61" s="840">
        <f>'Year 2'!AH61</f>
        <v>15</v>
      </c>
      <c r="AI61" s="831"/>
      <c r="AJ61" s="831"/>
      <c r="AK61" s="831"/>
      <c r="AL61" s="831"/>
      <c r="AM61" s="831"/>
      <c r="AN61" s="831"/>
      <c r="AO61" s="831"/>
    </row>
    <row r="62" spans="2:41" ht="15" customHeight="1">
      <c r="B62" s="290"/>
      <c r="C62" s="1006">
        <f>IF(Subcontracts!$F$5&gt;=4,+'Year 3'!C62,)</f>
        <v>0</v>
      </c>
      <c r="D62" s="1010"/>
      <c r="E62" s="111">
        <f>IF(Subcontracts!$F$5&gt;=4,+'Year 3'!E62+('Year 3'!E62*$B$59/100),)</f>
        <v>0</v>
      </c>
      <c r="F62" s="1006">
        <f>IF(Subcontracts!$F$5&gt;=4,+'Year 3'!F62,)</f>
        <v>0</v>
      </c>
      <c r="G62" s="1007"/>
      <c r="H62" s="1007"/>
      <c r="I62" s="1007"/>
      <c r="J62" s="1007"/>
      <c r="K62" s="111">
        <f>IF(Subcontracts!$F$5&gt;=4,+'Year 3'!K62+('Year 3'!K62*$B$59/100),)</f>
        <v>0</v>
      </c>
      <c r="L62" s="112"/>
      <c r="AA62" s="831"/>
      <c r="AB62" s="843" t="str">
        <f>'Year 2'!AB62</f>
        <v>Graduate</v>
      </c>
      <c r="AC62" s="831"/>
      <c r="AD62" s="840">
        <f>'Year 2'!AD62</f>
        <v>17</v>
      </c>
      <c r="AE62" s="840">
        <f>'Year 2'!AE62</f>
        <v>17</v>
      </c>
      <c r="AF62" s="840">
        <f>'Year 2'!AF62</f>
        <v>17</v>
      </c>
      <c r="AG62" s="840">
        <f>'Year 2'!AG62</f>
        <v>17</v>
      </c>
      <c r="AH62" s="840">
        <f>'Year 2'!AH62</f>
        <v>17</v>
      </c>
      <c r="AI62" s="831"/>
      <c r="AJ62" s="831"/>
      <c r="AK62" s="831"/>
      <c r="AL62" s="831"/>
      <c r="AM62" s="831"/>
      <c r="AN62" s="831"/>
      <c r="AO62" s="831"/>
    </row>
    <row r="63" spans="2:41" ht="15" customHeight="1">
      <c r="B63" s="290"/>
      <c r="C63" s="1006">
        <f>IF(Subcontracts!$F$5&gt;=4,+'Year 3'!C63,)</f>
        <v>0</v>
      </c>
      <c r="D63" s="1010"/>
      <c r="E63" s="111">
        <f>IF(Subcontracts!$F$5&gt;=4,+'Year 3'!E63+('Year 3'!E63*$B$59/100),)</f>
        <v>0</v>
      </c>
      <c r="F63" s="1006">
        <f>IF(Subcontracts!$F$5&gt;=4,+'Year 3'!F63,)</f>
        <v>0</v>
      </c>
      <c r="G63" s="1007"/>
      <c r="H63" s="1007"/>
      <c r="I63" s="1007"/>
      <c r="J63" s="1007"/>
      <c r="K63" s="111">
        <f>IF(Subcontracts!$F$5&gt;=4,+'Year 3'!K63+('Year 3'!K63*$B$59/100),)</f>
        <v>0</v>
      </c>
      <c r="L63" s="112"/>
      <c r="AA63" s="831"/>
      <c r="AB63" s="843" t="str">
        <f>'Year 2'!AB63</f>
        <v>Undergrad</v>
      </c>
      <c r="AC63" s="831"/>
      <c r="AD63" s="840">
        <f>'Year 2'!AD63</f>
        <v>5</v>
      </c>
      <c r="AE63" s="840">
        <f>'Year 2'!AE63</f>
        <v>5</v>
      </c>
      <c r="AF63" s="840">
        <f>'Year 2'!AF63</f>
        <v>5</v>
      </c>
      <c r="AG63" s="840">
        <f>'Year 2'!AG63</f>
        <v>5</v>
      </c>
      <c r="AH63" s="840">
        <f>'Year 2'!AH63</f>
        <v>5</v>
      </c>
      <c r="AI63" s="831"/>
      <c r="AJ63" s="831"/>
      <c r="AK63" s="831"/>
      <c r="AL63" s="831"/>
      <c r="AM63" s="831"/>
      <c r="AN63" s="831"/>
      <c r="AO63" s="831"/>
    </row>
    <row r="64" spans="2:41" ht="15" customHeight="1">
      <c r="B64" s="290"/>
      <c r="C64" s="1008">
        <f>IF(Subcontracts!$F$5&gt;=4,+'Year 3'!C64,)</f>
        <v>0</v>
      </c>
      <c r="D64" s="1009"/>
      <c r="E64" s="113">
        <f>IF(Subcontracts!$F$5&gt;=4,+'Year 3'!E64+('Year 3'!E64*$B$59/100),)</f>
        <v>0</v>
      </c>
      <c r="F64" s="1008">
        <f>IF(Subcontracts!$F$5&gt;=4,+'Year 3'!F64,)</f>
        <v>0</v>
      </c>
      <c r="G64" s="1009"/>
      <c r="H64" s="1009"/>
      <c r="I64" s="1009"/>
      <c r="J64" s="1009"/>
      <c r="K64" s="113">
        <f>IF(Subcontracts!$F$5&gt;=4,+'Year 3'!K64+('Year 3'!K64*$B$59/100),)</f>
        <v>0</v>
      </c>
      <c r="L64" s="115">
        <f>SUM(E59:E64)+SUM(K59:K64)</f>
        <v>0</v>
      </c>
      <c r="AA64" s="831"/>
      <c r="AB64" s="843" t="str">
        <f>'Year 2'!AB64</f>
        <v>IFR</v>
      </c>
      <c r="AC64" s="831"/>
      <c r="AD64" s="840">
        <f>'Year 2'!AD64</f>
        <v>61.645</v>
      </c>
      <c r="AE64" s="840">
        <f>'Year 2'!AE64</f>
        <v>64.05</v>
      </c>
      <c r="AF64" s="840">
        <f>'Year 2'!AF64</f>
        <v>64.05</v>
      </c>
      <c r="AG64" s="840">
        <f>'Year 2'!AG64</f>
        <v>64.05</v>
      </c>
      <c r="AH64" s="840">
        <f>'Year 2'!AH64</f>
        <v>64.05</v>
      </c>
      <c r="AI64" s="831"/>
      <c r="AJ64" s="831"/>
      <c r="AK64" s="831"/>
      <c r="AL64" s="831"/>
      <c r="AM64" s="831"/>
      <c r="AN64" s="831"/>
      <c r="AO64" s="831"/>
    </row>
    <row r="65" spans="2:41" ht="12" customHeight="1">
      <c r="B65" s="287" t="s">
        <v>80</v>
      </c>
      <c r="C65" s="116" t="s">
        <v>72</v>
      </c>
      <c r="D65" s="65"/>
      <c r="E65" s="43"/>
      <c r="F65" s="118"/>
      <c r="G65" s="43"/>
      <c r="H65" s="43"/>
      <c r="I65" s="43"/>
      <c r="J65" s="43"/>
      <c r="K65" s="43"/>
      <c r="L65" s="110"/>
      <c r="AA65" s="831"/>
      <c r="AB65" s="843" t="str">
        <f>'Year 2'!AB65</f>
        <v>F&amp;A</v>
      </c>
      <c r="AC65" s="831"/>
      <c r="AD65" s="840">
        <f>'Year 2'!AD65</f>
        <v>59.5</v>
      </c>
      <c r="AE65" s="840">
        <f>'Year 2'!AE65</f>
        <v>59.5</v>
      </c>
      <c r="AF65" s="840">
        <f>'Year 2'!AF65</f>
        <v>59.5</v>
      </c>
      <c r="AG65" s="840">
        <f>'Year 2'!AG65</f>
        <v>59.5</v>
      </c>
      <c r="AH65" s="840">
        <f>'Year 2'!AH65</f>
        <v>59.5</v>
      </c>
      <c r="AI65" s="831"/>
      <c r="AJ65" s="831"/>
      <c r="AK65" s="831"/>
      <c r="AL65" s="831"/>
      <c r="AM65" s="831"/>
      <c r="AN65" s="831"/>
      <c r="AO65" s="831"/>
    </row>
    <row r="66" spans="2:41" ht="13.5" customHeight="1">
      <c r="B66" s="293">
        <f>Subcontracts!$C$10</f>
        <v>0</v>
      </c>
      <c r="C66" s="1061">
        <f>IF(Subcontracts!$F$5&gt;=4,+'Year 3'!C66,)</f>
        <v>0</v>
      </c>
      <c r="D66" s="1012"/>
      <c r="E66" s="113">
        <f>IF(Subcontracts!$F$5&gt;=4,+'Year 3'!E66+('Year 3'!E66*$B$66/100),)</f>
        <v>0</v>
      </c>
      <c r="F66" s="122"/>
      <c r="G66" s="122"/>
      <c r="H66" s="122"/>
      <c r="I66" s="122"/>
      <c r="J66" s="123"/>
      <c r="K66" s="123"/>
      <c r="L66" s="115">
        <f>+E66</f>
        <v>0</v>
      </c>
      <c r="AA66" s="831"/>
      <c r="AB66" s="843">
        <f>'Year 2'!AB66</f>
        <v>0</v>
      </c>
      <c r="AC66" s="831"/>
      <c r="AD66" s="831"/>
      <c r="AE66" s="831"/>
      <c r="AF66" s="831"/>
      <c r="AG66" s="831"/>
      <c r="AH66" s="831"/>
      <c r="AI66" s="831"/>
      <c r="AJ66" s="831"/>
      <c r="AK66" s="831"/>
      <c r="AL66" s="831"/>
      <c r="AM66" s="831"/>
      <c r="AN66" s="831"/>
      <c r="AO66" s="831"/>
    </row>
    <row r="67" spans="2:41" ht="15.75" customHeight="1">
      <c r="B67" s="124"/>
      <c r="C67" s="884" t="s">
        <v>404</v>
      </c>
      <c r="D67" s="883"/>
      <c r="E67" s="880"/>
      <c r="F67" s="113"/>
      <c r="G67" s="125"/>
      <c r="H67" s="125"/>
      <c r="I67" s="125"/>
      <c r="J67" s="126"/>
      <c r="K67" s="126"/>
      <c r="L67" s="127"/>
      <c r="AA67" s="831"/>
      <c r="AB67" s="831"/>
      <c r="AC67" s="831"/>
      <c r="AD67" s="831"/>
      <c r="AE67" s="831"/>
      <c r="AF67" s="831"/>
      <c r="AG67" s="831"/>
      <c r="AH67" s="831"/>
      <c r="AI67" s="831"/>
      <c r="AJ67" s="831"/>
      <c r="AK67" s="831"/>
      <c r="AL67" s="831"/>
      <c r="AM67" s="831"/>
      <c r="AN67" s="831"/>
      <c r="AO67" s="831"/>
    </row>
    <row r="68" spans="2:12" ht="15.75" customHeight="1">
      <c r="B68" s="178"/>
      <c r="C68" s="54" t="s">
        <v>405</v>
      </c>
      <c r="D68" s="883"/>
      <c r="E68" s="881"/>
      <c r="F68" s="129"/>
      <c r="G68" s="125"/>
      <c r="H68" s="125"/>
      <c r="I68" s="125"/>
      <c r="J68" s="126"/>
      <c r="K68" s="126"/>
      <c r="L68" s="127"/>
    </row>
    <row r="69" spans="2:12" ht="12" customHeight="1">
      <c r="B69" s="178"/>
      <c r="C69" s="116" t="s">
        <v>155</v>
      </c>
      <c r="D69" s="65"/>
      <c r="E69" s="43"/>
      <c r="F69" s="130"/>
      <c r="G69" s="131"/>
      <c r="H69" s="131"/>
      <c r="I69" s="131"/>
      <c r="J69" s="43"/>
      <c r="K69" s="43"/>
      <c r="L69" s="110"/>
    </row>
    <row r="70" spans="2:12" ht="12.75" customHeight="1">
      <c r="B70" s="178"/>
      <c r="C70" s="129"/>
      <c r="D70" s="132"/>
      <c r="E70" s="129"/>
      <c r="F70" s="122"/>
      <c r="G70" s="122"/>
      <c r="H70" s="122"/>
      <c r="I70" s="122"/>
      <c r="J70" s="123"/>
      <c r="K70" s="123"/>
      <c r="L70" s="115">
        <f>+E70</f>
        <v>0</v>
      </c>
    </row>
    <row r="71" spans="2:12" ht="20.25" customHeight="1">
      <c r="B71" s="288" t="s">
        <v>80</v>
      </c>
      <c r="C71" s="285" t="s">
        <v>154</v>
      </c>
      <c r="D71" s="65"/>
      <c r="E71" s="43"/>
      <c r="F71" s="118"/>
      <c r="G71" s="43"/>
      <c r="H71" s="43"/>
      <c r="I71" s="131"/>
      <c r="J71" s="43"/>
      <c r="K71" s="43"/>
      <c r="L71" s="110"/>
    </row>
    <row r="72" spans="2:12" ht="12" customHeight="1">
      <c r="B72" s="577">
        <f>Subcontracts!$C$10</f>
        <v>0</v>
      </c>
      <c r="C72" s="1006">
        <f>IF(D78&gt;0,"Tuition",)</f>
        <v>0</v>
      </c>
      <c r="D72" s="1010"/>
      <c r="E72" s="111">
        <f>IF(D78&gt;0,D78,)</f>
        <v>0</v>
      </c>
      <c r="F72" s="1006">
        <f>IF(Subcontracts!$F$5&gt;=4,+'Year 3'!F72,)</f>
        <v>0</v>
      </c>
      <c r="G72" s="1007"/>
      <c r="H72" s="1007"/>
      <c r="I72" s="1007"/>
      <c r="J72" s="1007"/>
      <c r="K72" s="111">
        <f>IF(Subcontracts!$F$5&gt;=4,+'Year 3'!K72+('Year 3'!K72*$B$72/100),)</f>
        <v>0</v>
      </c>
      <c r="L72" s="112"/>
    </row>
    <row r="73" spans="2:12" ht="12" customHeight="1">
      <c r="B73" s="178"/>
      <c r="C73" s="1006">
        <f>IF(Subcontracts!$F$5&gt;=4,+'Year 3'!C73,)</f>
        <v>0</v>
      </c>
      <c r="D73" s="1053"/>
      <c r="E73" s="111">
        <f>IF(Subcontracts!$F$5&gt;=4,+'Year 3'!E73+('Year 3'!E73*$B$72/100),)</f>
        <v>0</v>
      </c>
      <c r="F73" s="1006">
        <f>IF(Subcontracts!$F$5&gt;=4,+'Year 3'!F73,)</f>
        <v>0</v>
      </c>
      <c r="G73" s="1007"/>
      <c r="H73" s="1007"/>
      <c r="I73" s="1007"/>
      <c r="J73" s="1007"/>
      <c r="K73" s="111">
        <f>IF(Subcontracts!$F$5&gt;=4,+'Year 3'!K73+('Year 3'!K73*$B$72/100),)</f>
        <v>0</v>
      </c>
      <c r="L73" s="112"/>
    </row>
    <row r="74" spans="2:12" ht="12" customHeight="1">
      <c r="B74" s="178"/>
      <c r="C74" s="1006">
        <f>IF(Subcontracts!$F$5&gt;=4,+'Year 3'!C74,)</f>
        <v>0</v>
      </c>
      <c r="D74" s="1053"/>
      <c r="E74" s="111">
        <f>IF(Subcontracts!$F$5&gt;=4,+'Year 3'!E74+('Year 3'!E74*$B$72/100),)</f>
        <v>0</v>
      </c>
      <c r="F74" s="1006">
        <f>IF(Subcontracts!$F$5&gt;=4,+'Year 3'!F74,)</f>
        <v>0</v>
      </c>
      <c r="G74" s="1007"/>
      <c r="H74" s="1007"/>
      <c r="I74" s="1007"/>
      <c r="J74" s="1007"/>
      <c r="K74" s="111">
        <f>IF(Subcontracts!$F$5&gt;=4,+'Year 3'!K74+('Year 3'!K74*$B$72/100),)</f>
        <v>0</v>
      </c>
      <c r="L74" s="112"/>
    </row>
    <row r="75" spans="2:12" ht="12" customHeight="1">
      <c r="B75" s="178"/>
      <c r="C75" s="1006">
        <f>IF(Subcontracts!$F$5&gt;=4,+'Year 3'!C75,)</f>
        <v>0</v>
      </c>
      <c r="D75" s="1053"/>
      <c r="E75" s="111">
        <f>IF(Subcontracts!$F$5&gt;=4,+'Year 3'!E75+('Year 3'!E75*$B$72/100),)</f>
        <v>0</v>
      </c>
      <c r="F75" s="1006">
        <f>IF(Subcontracts!$F$5&gt;=4,+'Year 3'!F75,)</f>
        <v>0</v>
      </c>
      <c r="G75" s="1007"/>
      <c r="H75" s="1007"/>
      <c r="I75" s="1007"/>
      <c r="J75" s="1007"/>
      <c r="K75" s="111">
        <f>IF(Subcontracts!$F$5&gt;=4,+'Year 3'!K75+('Year 3'!K75*$B$72/100),)</f>
        <v>0</v>
      </c>
      <c r="L75" s="112"/>
    </row>
    <row r="76" spans="2:12" ht="12" customHeight="1">
      <c r="B76" s="178"/>
      <c r="C76" s="1006">
        <f>IF(Subcontracts!$F$5&gt;=4,+'Year 3'!C76,)</f>
        <v>0</v>
      </c>
      <c r="D76" s="1053"/>
      <c r="E76" s="111">
        <f>IF(Subcontracts!$F$5&gt;=4,+'Year 3'!E76+('Year 3'!E76*$B$72/100),)</f>
        <v>0</v>
      </c>
      <c r="F76" s="1006">
        <f>IF(Subcontracts!$F$5&gt;=4,+'Year 3'!F76,)</f>
        <v>0</v>
      </c>
      <c r="G76" s="1007"/>
      <c r="H76" s="1007"/>
      <c r="I76" s="1007"/>
      <c r="J76" s="1007"/>
      <c r="K76" s="111">
        <f>IF(Subcontracts!$F$5&gt;=4,+'Year 3'!K76+('Year 3'!K76*$B$72/100),)</f>
        <v>0</v>
      </c>
      <c r="L76" s="112"/>
    </row>
    <row r="77" spans="2:12" ht="12.75" customHeight="1">
      <c r="B77" s="178"/>
      <c r="C77" s="1008">
        <f>IF(Subcontracts!$F$5&gt;=4,+'Year 3'!C77,)</f>
        <v>0</v>
      </c>
      <c r="D77" s="1052"/>
      <c r="E77" s="111">
        <f>IF(Subcontracts!$F$5&gt;=4,+'Year 3'!E77+('Year 3'!E77*$B$72/100),)</f>
        <v>0</v>
      </c>
      <c r="F77" s="1008">
        <f>IF(Subcontracts!$F$5&gt;=4,+'Year 3'!F77,)</f>
        <v>0</v>
      </c>
      <c r="G77" s="1009"/>
      <c r="H77" s="1009"/>
      <c r="I77" s="1009"/>
      <c r="J77" s="1009"/>
      <c r="K77" s="111">
        <f>IF(Subcontracts!$F$5&gt;=4,+'Year 3'!K77+('Year 3'!K77*$B$72/100),)</f>
        <v>0</v>
      </c>
      <c r="L77" s="133">
        <f>SUM(E72:E77)+SUM(K72:K77)</f>
        <v>0</v>
      </c>
    </row>
    <row r="78" spans="1:12" ht="12.75" customHeight="1">
      <c r="A78" s="95"/>
      <c r="B78" s="134"/>
      <c r="C78" s="135" t="s">
        <v>10</v>
      </c>
      <c r="D78" s="136">
        <f>IF(Subcontracts!F5&gt;=4,(Subcontracts!Y30+Subcontracts!Y45),)</f>
        <v>0</v>
      </c>
      <c r="E78" s="137"/>
      <c r="F78" s="138"/>
      <c r="G78" s="653"/>
      <c r="H78" s="653"/>
      <c r="I78" s="653"/>
      <c r="J78" s="140"/>
      <c r="K78" s="141"/>
      <c r="L78" s="142">
        <f>D78+J78</f>
        <v>0</v>
      </c>
    </row>
    <row r="79" spans="1:12" ht="14.25" customHeight="1" thickBot="1">
      <c r="A79" s="95"/>
      <c r="B79" s="143"/>
      <c r="C79" s="152" t="s">
        <v>291</v>
      </c>
      <c r="D79" s="183"/>
      <c r="E79" s="650"/>
      <c r="F79" s="651"/>
      <c r="G79" s="654"/>
      <c r="H79" s="651"/>
      <c r="I79" s="651"/>
      <c r="J79" s="651"/>
      <c r="K79" s="652" t="s">
        <v>73</v>
      </c>
      <c r="L79" s="655">
        <f>+Subcontracts!F60</f>
        <v>0</v>
      </c>
    </row>
    <row r="80" spans="1:19" ht="24" customHeight="1" thickBot="1">
      <c r="A80" s="95"/>
      <c r="B80" s="143"/>
      <c r="C80" s="144" t="s">
        <v>296</v>
      </c>
      <c r="D80" s="145"/>
      <c r="E80" s="628"/>
      <c r="F80" s="637"/>
      <c r="G80" s="628"/>
      <c r="H80" s="628"/>
      <c r="I80" s="628"/>
      <c r="J80" s="628"/>
      <c r="K80" s="638"/>
      <c r="L80" s="148">
        <f>+L50+L53+L57+L64+L66+L67+L68+L70+L77+L79</f>
        <v>0</v>
      </c>
      <c r="M80" s="986">
        <f>IF(L80&gt;=500000,"&lt;---","")</f>
      </c>
      <c r="N80" s="985">
        <f>IF(L80&gt;=500000,"OVER $500,000--CHECK IF ALLOWED BY FOA OR IF PO APPROVAL OBTAINED","")</f>
      </c>
      <c r="O80" s="49"/>
      <c r="P80" s="49"/>
      <c r="Q80" s="49"/>
      <c r="R80" s="49"/>
      <c r="S80" s="49"/>
    </row>
    <row r="81" spans="1:12" ht="14.25" customHeight="1" thickBot="1">
      <c r="A81" s="95"/>
      <c r="B81" s="143"/>
      <c r="C81" s="152" t="s">
        <v>291</v>
      </c>
      <c r="D81" s="154"/>
      <c r="E81" s="643"/>
      <c r="F81" s="154"/>
      <c r="G81" s="632"/>
      <c r="H81" s="154"/>
      <c r="I81" s="154"/>
      <c r="J81" s="154"/>
      <c r="K81" s="642" t="s">
        <v>74</v>
      </c>
      <c r="L81" s="156">
        <f>+Subcontracts!F61</f>
        <v>0</v>
      </c>
    </row>
    <row r="82" spans="1:12" ht="24" customHeight="1" thickBot="1">
      <c r="A82" s="95"/>
      <c r="B82" s="143"/>
      <c r="C82" s="157" t="s">
        <v>295</v>
      </c>
      <c r="D82" s="158"/>
      <c r="E82" s="159"/>
      <c r="F82" s="160"/>
      <c r="G82" s="161"/>
      <c r="H82" s="161"/>
      <c r="I82" s="159"/>
      <c r="J82" s="159"/>
      <c r="K82" s="162"/>
      <c r="L82" s="163">
        <f>+L80+L81</f>
        <v>0</v>
      </c>
    </row>
    <row r="83" spans="1:12" ht="15" customHeight="1">
      <c r="A83" s="95"/>
      <c r="B83" s="143"/>
      <c r="C83" s="165" t="s">
        <v>399</v>
      </c>
      <c r="D83" s="166"/>
      <c r="E83" s="166"/>
      <c r="F83" s="166" t="s">
        <v>75</v>
      </c>
      <c r="G83" s="166"/>
      <c r="H83" s="166"/>
      <c r="I83" s="166"/>
      <c r="J83" s="166"/>
      <c r="K83" s="167"/>
      <c r="L83" s="168" t="s">
        <v>76</v>
      </c>
    </row>
    <row r="84" spans="1:12" ht="12" customHeight="1">
      <c r="A84" s="95"/>
      <c r="B84" s="143"/>
      <c r="C84" s="169"/>
      <c r="D84" s="170"/>
      <c r="E84" s="171"/>
      <c r="F84" s="170"/>
      <c r="G84" s="171"/>
      <c r="H84" s="171"/>
      <c r="I84" s="171"/>
      <c r="J84" s="171"/>
      <c r="K84" s="171"/>
      <c r="L84" s="171"/>
    </row>
    <row r="85" spans="1:12" ht="10.5">
      <c r="A85" s="95"/>
      <c r="B85" s="143"/>
      <c r="C85" s="170"/>
      <c r="D85" s="170"/>
      <c r="E85" s="171"/>
      <c r="F85" s="170"/>
      <c r="G85" s="171"/>
      <c r="H85" s="171"/>
      <c r="I85" s="171"/>
      <c r="J85" s="170"/>
      <c r="K85" s="171"/>
      <c r="L85" s="170"/>
    </row>
    <row r="86" spans="2:12" ht="0.75" customHeight="1">
      <c r="B86" s="172"/>
      <c r="C86" s="95"/>
      <c r="D86" s="95"/>
      <c r="E86" s="94"/>
      <c r="F86" s="95"/>
      <c r="G86" s="94"/>
      <c r="H86" s="94"/>
      <c r="I86" s="94"/>
      <c r="J86" s="95"/>
      <c r="K86" s="94"/>
      <c r="L86" s="95"/>
    </row>
    <row r="87" spans="2:12" ht="10.5">
      <c r="B87" s="172"/>
      <c r="L87" s="49"/>
    </row>
    <row r="88" spans="2:12" ht="10.5">
      <c r="B88" s="172"/>
      <c r="L88" s="94"/>
    </row>
    <row r="89" ht="8.25">
      <c r="B89" s="172"/>
    </row>
    <row r="90" spans="2:12" ht="10.5">
      <c r="B90" s="172"/>
      <c r="L90" s="94"/>
    </row>
    <row r="91" spans="2:11" ht="10.5">
      <c r="B91" s="172"/>
      <c r="E91" s="49"/>
      <c r="G91" s="49"/>
      <c r="H91" s="49"/>
      <c r="I91" s="49"/>
      <c r="K91" s="49"/>
    </row>
    <row r="92" spans="2:12" ht="10.5">
      <c r="B92" s="172"/>
      <c r="E92" s="49"/>
      <c r="G92" s="49"/>
      <c r="H92" s="49"/>
      <c r="I92" s="49"/>
      <c r="L92" s="94"/>
    </row>
    <row r="93" spans="2:11" ht="10.5">
      <c r="B93" s="172"/>
      <c r="C93" s="49"/>
      <c r="D93" s="49"/>
      <c r="E93" s="49"/>
      <c r="G93" s="49"/>
      <c r="H93" s="49"/>
      <c r="I93" s="49"/>
      <c r="K93" s="49"/>
    </row>
    <row r="94" spans="2:12" ht="10.5">
      <c r="B94" s="172"/>
      <c r="C94" s="49"/>
      <c r="D94" s="49"/>
      <c r="E94" s="49"/>
      <c r="F94" s="49"/>
      <c r="G94" s="49"/>
      <c r="H94" s="49"/>
      <c r="I94" s="49"/>
      <c r="J94" s="49"/>
      <c r="L94" s="49"/>
    </row>
    <row r="95" spans="2:12" ht="10.5">
      <c r="B95" s="172"/>
      <c r="C95" s="49"/>
      <c r="D95" s="49"/>
      <c r="E95" s="49"/>
      <c r="F95" s="49"/>
      <c r="G95" s="49"/>
      <c r="H95" s="49"/>
      <c r="I95" s="49"/>
      <c r="J95" s="49"/>
      <c r="K95" s="49"/>
      <c r="L95" s="49"/>
    </row>
    <row r="96" spans="2:12" ht="10.5">
      <c r="B96" s="172"/>
      <c r="C96" s="49"/>
      <c r="D96" s="49"/>
      <c r="E96" s="49"/>
      <c r="F96" s="49"/>
      <c r="G96" s="49"/>
      <c r="H96" s="49"/>
      <c r="I96" s="49"/>
      <c r="J96" s="49"/>
      <c r="K96" s="49"/>
      <c r="L96" s="49"/>
    </row>
    <row r="97" spans="2:12" ht="10.5">
      <c r="B97" s="172"/>
      <c r="C97" s="49"/>
      <c r="D97" s="49"/>
      <c r="E97" s="49"/>
      <c r="F97" s="49"/>
      <c r="G97" s="49"/>
      <c r="H97" s="49"/>
      <c r="I97" s="49"/>
      <c r="J97" s="49"/>
      <c r="K97" s="49"/>
      <c r="L97" s="49"/>
    </row>
    <row r="98" spans="2:12" ht="9" customHeight="1">
      <c r="B98" s="172"/>
      <c r="C98" s="49"/>
      <c r="D98" s="49"/>
      <c r="E98" s="49"/>
      <c r="F98" s="49"/>
      <c r="G98" s="49"/>
      <c r="H98" s="49"/>
      <c r="I98" s="49"/>
      <c r="J98" s="49"/>
      <c r="K98" s="49"/>
      <c r="L98" s="49"/>
    </row>
    <row r="99" spans="2:12" ht="10.5">
      <c r="B99" s="172"/>
      <c r="C99" s="49"/>
      <c r="D99" s="49"/>
      <c r="E99" s="49"/>
      <c r="F99" s="49"/>
      <c r="G99" s="49"/>
      <c r="H99" s="49"/>
      <c r="I99" s="49"/>
      <c r="J99" s="49"/>
      <c r="K99" s="49"/>
      <c r="L99" s="49"/>
    </row>
    <row r="100" spans="2:12" ht="16.5" customHeight="1">
      <c r="B100" s="172"/>
      <c r="C100" s="49"/>
      <c r="D100" s="49"/>
      <c r="E100" s="49"/>
      <c r="F100" s="49"/>
      <c r="G100" s="49"/>
      <c r="H100" s="49"/>
      <c r="I100" s="49"/>
      <c r="J100" s="49"/>
      <c r="K100" s="49"/>
      <c r="L100" s="49"/>
    </row>
    <row r="101" spans="2:12" ht="16.5" customHeight="1">
      <c r="B101" s="172"/>
      <c r="C101" s="49"/>
      <c r="D101" s="49"/>
      <c r="E101" s="49"/>
      <c r="F101" s="49"/>
      <c r="G101" s="49"/>
      <c r="H101" s="49"/>
      <c r="I101" s="49"/>
      <c r="J101" s="49"/>
      <c r="K101" s="49"/>
      <c r="L101" s="49"/>
    </row>
    <row r="102" spans="2:12" ht="10.5" customHeight="1">
      <c r="B102" s="172"/>
      <c r="C102" s="49"/>
      <c r="D102" s="49"/>
      <c r="E102" s="49"/>
      <c r="F102" s="49"/>
      <c r="G102" s="49"/>
      <c r="H102" s="49"/>
      <c r="I102" s="49"/>
      <c r="J102" s="49"/>
      <c r="K102" s="49"/>
      <c r="L102" s="49"/>
    </row>
    <row r="103" spans="2:12" ht="10.5" customHeight="1">
      <c r="B103" s="172"/>
      <c r="C103" s="49"/>
      <c r="D103" s="49"/>
      <c r="E103" s="49"/>
      <c r="F103" s="49"/>
      <c r="G103" s="49"/>
      <c r="H103" s="49"/>
      <c r="I103" s="49"/>
      <c r="J103" s="49"/>
      <c r="K103" s="49"/>
      <c r="L103" s="49"/>
    </row>
    <row r="104" spans="2:12" ht="10.5" customHeight="1">
      <c r="B104" s="172"/>
      <c r="C104" s="49"/>
      <c r="D104" s="49"/>
      <c r="E104" s="49"/>
      <c r="F104" s="49"/>
      <c r="G104" s="49"/>
      <c r="H104" s="49"/>
      <c r="I104" s="49"/>
      <c r="J104" s="49"/>
      <c r="K104" s="49"/>
      <c r="L104" s="49"/>
    </row>
    <row r="105" spans="2:12" ht="10.5" customHeight="1">
      <c r="B105" s="172"/>
      <c r="C105" s="49"/>
      <c r="D105" s="49"/>
      <c r="E105" s="49"/>
      <c r="F105" s="49"/>
      <c r="G105" s="49"/>
      <c r="H105" s="49"/>
      <c r="I105" s="49"/>
      <c r="J105" s="49"/>
      <c r="K105" s="49"/>
      <c r="L105" s="49"/>
    </row>
    <row r="106" spans="2:12" ht="10.5" customHeight="1">
      <c r="B106" s="172"/>
      <c r="C106" s="49"/>
      <c r="D106" s="49"/>
      <c r="E106" s="49"/>
      <c r="F106" s="49"/>
      <c r="G106" s="49"/>
      <c r="H106" s="49"/>
      <c r="I106" s="49"/>
      <c r="J106" s="49"/>
      <c r="K106" s="49"/>
      <c r="L106" s="49"/>
    </row>
    <row r="107" spans="2:12" ht="10.5" customHeight="1">
      <c r="B107" s="172"/>
      <c r="C107" s="49"/>
      <c r="D107" s="49"/>
      <c r="E107" s="49"/>
      <c r="F107" s="49"/>
      <c r="G107" s="49"/>
      <c r="H107" s="49"/>
      <c r="I107" s="49"/>
      <c r="J107" s="49"/>
      <c r="K107" s="49"/>
      <c r="L107" s="49"/>
    </row>
    <row r="108" spans="2:12" ht="22.5" customHeight="1">
      <c r="B108" s="172"/>
      <c r="C108" s="49"/>
      <c r="D108" s="49"/>
      <c r="E108" s="49"/>
      <c r="F108" s="49"/>
      <c r="G108" s="49"/>
      <c r="H108" s="49"/>
      <c r="I108" s="49"/>
      <c r="J108" s="49"/>
      <c r="K108" s="49"/>
      <c r="L108" s="49"/>
    </row>
    <row r="109" spans="2:12" ht="22.5" customHeight="1">
      <c r="B109" s="172"/>
      <c r="C109" s="49"/>
      <c r="D109" s="49"/>
      <c r="E109" s="49"/>
      <c r="F109" s="49"/>
      <c r="G109" s="49"/>
      <c r="H109" s="49"/>
      <c r="I109" s="49"/>
      <c r="J109" s="49"/>
      <c r="K109" s="49"/>
      <c r="L109" s="49"/>
    </row>
    <row r="110" spans="2:12" ht="22.5" customHeight="1">
      <c r="B110" s="172"/>
      <c r="C110" s="49"/>
      <c r="D110" s="49"/>
      <c r="E110" s="49"/>
      <c r="F110" s="49"/>
      <c r="G110" s="49"/>
      <c r="H110" s="49"/>
      <c r="I110" s="49"/>
      <c r="J110" s="49"/>
      <c r="K110" s="49"/>
      <c r="L110" s="49"/>
    </row>
    <row r="111" spans="2:12" ht="22.5" customHeight="1">
      <c r="B111" s="172"/>
      <c r="C111" s="49"/>
      <c r="D111" s="49"/>
      <c r="E111" s="49"/>
      <c r="F111" s="49"/>
      <c r="G111" s="49"/>
      <c r="H111" s="49"/>
      <c r="I111" s="49"/>
      <c r="J111" s="49"/>
      <c r="K111" s="49"/>
      <c r="L111" s="49"/>
    </row>
    <row r="112" spans="2:12" ht="22.5" customHeight="1">
      <c r="B112" s="172"/>
      <c r="C112" s="49"/>
      <c r="D112" s="49"/>
      <c r="E112" s="49"/>
      <c r="F112" s="49"/>
      <c r="G112" s="49"/>
      <c r="H112" s="49"/>
      <c r="I112" s="49"/>
      <c r="J112" s="49"/>
      <c r="K112" s="49"/>
      <c r="L112" s="49"/>
    </row>
    <row r="113" spans="3:12" ht="22.5" customHeight="1">
      <c r="C113" s="49"/>
      <c r="D113" s="49"/>
      <c r="E113" s="49"/>
      <c r="F113" s="49"/>
      <c r="G113" s="49"/>
      <c r="H113" s="49"/>
      <c r="I113" s="49"/>
      <c r="J113" s="49"/>
      <c r="K113" s="49"/>
      <c r="L113" s="49"/>
    </row>
    <row r="114" spans="3:12" ht="12.75" customHeight="1">
      <c r="C114" s="49"/>
      <c r="D114" s="49"/>
      <c r="E114" s="49"/>
      <c r="F114" s="49"/>
      <c r="G114" s="49"/>
      <c r="H114" s="49"/>
      <c r="I114" s="49"/>
      <c r="J114" s="49"/>
      <c r="K114" s="49"/>
      <c r="L114" s="49"/>
    </row>
    <row r="115" spans="3:12" ht="10.5" customHeight="1">
      <c r="C115" s="49"/>
      <c r="D115" s="49"/>
      <c r="E115" s="49"/>
      <c r="F115" s="49"/>
      <c r="G115" s="49"/>
      <c r="H115" s="49"/>
      <c r="I115" s="49"/>
      <c r="J115" s="49"/>
      <c r="K115" s="49"/>
      <c r="L115" s="49"/>
    </row>
    <row r="116" spans="3:12" ht="22.5" customHeight="1">
      <c r="C116" s="49"/>
      <c r="D116" s="49"/>
      <c r="E116" s="49"/>
      <c r="F116" s="49"/>
      <c r="G116" s="49"/>
      <c r="H116" s="49"/>
      <c r="I116" s="49"/>
      <c r="J116" s="49"/>
      <c r="K116" s="49"/>
      <c r="L116" s="49"/>
    </row>
    <row r="117" spans="3:12" ht="22.5" customHeight="1">
      <c r="C117" s="49"/>
      <c r="D117" s="49"/>
      <c r="E117" s="49"/>
      <c r="F117" s="49"/>
      <c r="G117" s="49"/>
      <c r="H117" s="49"/>
      <c r="I117" s="49"/>
      <c r="J117" s="49"/>
      <c r="K117" s="49"/>
      <c r="L117" s="49"/>
    </row>
    <row r="118" spans="3:12" ht="12.75" customHeight="1">
      <c r="C118" s="49"/>
      <c r="D118" s="49"/>
      <c r="E118" s="49"/>
      <c r="F118" s="49"/>
      <c r="G118" s="49"/>
      <c r="H118" s="49"/>
      <c r="I118" s="49"/>
      <c r="J118" s="49"/>
      <c r="K118" s="49"/>
      <c r="L118" s="49"/>
    </row>
    <row r="119" spans="3:12" ht="10.5" customHeight="1">
      <c r="C119" s="49"/>
      <c r="D119" s="49"/>
      <c r="E119" s="49"/>
      <c r="F119" s="49"/>
      <c r="G119" s="49"/>
      <c r="H119" s="49"/>
      <c r="I119" s="49"/>
      <c r="J119" s="49"/>
      <c r="K119" s="49"/>
      <c r="L119" s="49"/>
    </row>
    <row r="120" spans="3:12" ht="27" customHeight="1">
      <c r="C120" s="49"/>
      <c r="D120" s="49"/>
      <c r="E120" s="49"/>
      <c r="F120" s="49"/>
      <c r="G120" s="49"/>
      <c r="H120" s="49"/>
      <c r="I120" s="49"/>
      <c r="J120" s="49"/>
      <c r="K120" s="49"/>
      <c r="L120" s="49"/>
    </row>
    <row r="121" spans="3:12" ht="9" customHeight="1">
      <c r="C121" s="49"/>
      <c r="D121" s="49"/>
      <c r="E121" s="49"/>
      <c r="F121" s="49"/>
      <c r="G121" s="49"/>
      <c r="H121" s="49"/>
      <c r="I121" s="49"/>
      <c r="J121" s="49"/>
      <c r="K121" s="49"/>
      <c r="L121" s="49"/>
    </row>
    <row r="122" spans="3:12" ht="0.75" customHeight="1">
      <c r="C122" s="49"/>
      <c r="D122" s="49"/>
      <c r="E122" s="49"/>
      <c r="F122" s="49"/>
      <c r="G122" s="49"/>
      <c r="H122" s="49"/>
      <c r="I122" s="49"/>
      <c r="J122" s="49"/>
      <c r="K122" s="49"/>
      <c r="L122" s="49"/>
    </row>
    <row r="123" spans="3:12" ht="21.75" customHeight="1"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3:12" ht="12" customHeight="1">
      <c r="C124" s="49"/>
      <c r="D124" s="49"/>
      <c r="E124" s="49"/>
      <c r="F124" s="49"/>
      <c r="G124" s="49"/>
      <c r="H124" s="49"/>
      <c r="I124" s="49"/>
      <c r="J124" s="49"/>
      <c r="K124" s="49"/>
      <c r="L124" s="49"/>
    </row>
    <row r="125" spans="3:12" ht="0.75" customHeight="1"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3:12" ht="12.75" customHeight="1">
      <c r="C126" s="49"/>
      <c r="D126" s="49"/>
      <c r="E126" s="49"/>
      <c r="F126" s="49"/>
      <c r="G126" s="49"/>
      <c r="H126" s="49"/>
      <c r="I126" s="49"/>
      <c r="J126" s="49"/>
      <c r="K126" s="49"/>
      <c r="L126" s="49"/>
    </row>
    <row r="127" spans="3:12" ht="10.5" customHeight="1">
      <c r="C127" s="49"/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3:12" ht="10.5">
      <c r="C128" s="49"/>
      <c r="D128" s="49"/>
      <c r="E128" s="49"/>
      <c r="F128" s="49"/>
      <c r="G128" s="49"/>
      <c r="H128" s="49"/>
      <c r="I128" s="49"/>
      <c r="J128" s="49"/>
      <c r="K128" s="49"/>
      <c r="L128" s="49"/>
    </row>
    <row r="129" spans="3:11" ht="10.5" customHeight="1">
      <c r="C129" s="49"/>
      <c r="D129" s="49"/>
      <c r="E129" s="49"/>
      <c r="F129" s="49"/>
      <c r="G129" s="49"/>
      <c r="H129" s="49"/>
      <c r="I129" s="49"/>
      <c r="J129" s="49"/>
      <c r="K129" s="49"/>
    </row>
    <row r="130" ht="10.5" customHeight="1"/>
    <row r="132" ht="10.5" customHeight="1"/>
    <row r="133" ht="10.5" customHeight="1"/>
    <row r="135" ht="10.5" customHeight="1"/>
    <row r="136" ht="10.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</sheetData>
  <sheetProtection sheet="1"/>
  <mergeCells count="114">
    <mergeCell ref="I18:I19"/>
    <mergeCell ref="C77:D77"/>
    <mergeCell ref="C73:D73"/>
    <mergeCell ref="C74:D74"/>
    <mergeCell ref="C75:D75"/>
    <mergeCell ref="C76:D76"/>
    <mergeCell ref="F77:J77"/>
    <mergeCell ref="F73:J73"/>
    <mergeCell ref="F74:J74"/>
    <mergeCell ref="F75:J75"/>
    <mergeCell ref="F76:J76"/>
    <mergeCell ref="C64:D64"/>
    <mergeCell ref="F64:J64"/>
    <mergeCell ref="C66:D66"/>
    <mergeCell ref="C72:D72"/>
    <mergeCell ref="F72:J72"/>
    <mergeCell ref="C62:D62"/>
    <mergeCell ref="F62:J62"/>
    <mergeCell ref="C63:D63"/>
    <mergeCell ref="F63:J63"/>
    <mergeCell ref="C60:D60"/>
    <mergeCell ref="F60:J60"/>
    <mergeCell ref="C61:D61"/>
    <mergeCell ref="F61:J61"/>
    <mergeCell ref="C57:D57"/>
    <mergeCell ref="F57:J57"/>
    <mergeCell ref="C59:D59"/>
    <mergeCell ref="F59:J59"/>
    <mergeCell ref="C55:D55"/>
    <mergeCell ref="F55:J55"/>
    <mergeCell ref="C56:D56"/>
    <mergeCell ref="F56:J56"/>
    <mergeCell ref="C53:D53"/>
    <mergeCell ref="F53:J53"/>
    <mergeCell ref="C44:D45"/>
    <mergeCell ref="C46:D47"/>
    <mergeCell ref="C48:D49"/>
    <mergeCell ref="E44:E45"/>
    <mergeCell ref="E46:E47"/>
    <mergeCell ref="E48:E49"/>
    <mergeCell ref="F44:F45"/>
    <mergeCell ref="F46:F47"/>
    <mergeCell ref="F42:F43"/>
    <mergeCell ref="F36:F37"/>
    <mergeCell ref="F38:F39"/>
    <mergeCell ref="C52:D52"/>
    <mergeCell ref="F52:J52"/>
    <mergeCell ref="C36:D37"/>
    <mergeCell ref="C38:D39"/>
    <mergeCell ref="C40:D41"/>
    <mergeCell ref="C42:D43"/>
    <mergeCell ref="F48:F49"/>
    <mergeCell ref="C28:D29"/>
    <mergeCell ref="C30:D31"/>
    <mergeCell ref="C32:D33"/>
    <mergeCell ref="C34:D35"/>
    <mergeCell ref="C20:D21"/>
    <mergeCell ref="C22:D23"/>
    <mergeCell ref="C24:D25"/>
    <mergeCell ref="C26:D27"/>
    <mergeCell ref="F32:F33"/>
    <mergeCell ref="F34:F35"/>
    <mergeCell ref="F40:F41"/>
    <mergeCell ref="F22:F23"/>
    <mergeCell ref="F30:F31"/>
    <mergeCell ref="E20:E21"/>
    <mergeCell ref="E22:E23"/>
    <mergeCell ref="F28:F29"/>
    <mergeCell ref="E24:E25"/>
    <mergeCell ref="E26:E27"/>
    <mergeCell ref="E28:E29"/>
    <mergeCell ref="F24:F25"/>
    <mergeCell ref="F26:F27"/>
    <mergeCell ref="E30:E31"/>
    <mergeCell ref="E40:E41"/>
    <mergeCell ref="E42:E43"/>
    <mergeCell ref="E32:E33"/>
    <mergeCell ref="E34:E35"/>
    <mergeCell ref="E36:E37"/>
    <mergeCell ref="E38:E39"/>
    <mergeCell ref="F18:F19"/>
    <mergeCell ref="G18:G19"/>
    <mergeCell ref="H18:H19"/>
    <mergeCell ref="G20:G21"/>
    <mergeCell ref="H20:H21"/>
    <mergeCell ref="F20:F21"/>
    <mergeCell ref="G22:G23"/>
    <mergeCell ref="H22:H23"/>
    <mergeCell ref="G24:G25"/>
    <mergeCell ref="H24:H25"/>
    <mergeCell ref="G26:G27"/>
    <mergeCell ref="H26:H27"/>
    <mergeCell ref="G28:G29"/>
    <mergeCell ref="H28:H29"/>
    <mergeCell ref="G30:G31"/>
    <mergeCell ref="H30:H31"/>
    <mergeCell ref="G32:G33"/>
    <mergeCell ref="H32:H33"/>
    <mergeCell ref="G34:G35"/>
    <mergeCell ref="H34:H35"/>
    <mergeCell ref="G36:G37"/>
    <mergeCell ref="H36:H37"/>
    <mergeCell ref="G38:G39"/>
    <mergeCell ref="H38:H39"/>
    <mergeCell ref="G46:G47"/>
    <mergeCell ref="H46:H47"/>
    <mergeCell ref="G48:G49"/>
    <mergeCell ref="H48:H49"/>
    <mergeCell ref="G40:G41"/>
    <mergeCell ref="H40:H41"/>
    <mergeCell ref="G42:G43"/>
    <mergeCell ref="H42:H43"/>
    <mergeCell ref="G44:G45"/>
    <mergeCell ref="H44:H45"/>
  </mergeCells>
  <printOptions horizontalCentered="1"/>
  <pageMargins left="0.35" right="0.25" top="0.2" bottom="0" header="0.5" footer="0.5"/>
  <pageSetup fitToHeight="1" fitToWidth="1" horizontalDpi="300" verticalDpi="3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J129"/>
  <sheetViews>
    <sheetView showGridLines="0" showZeros="0" zoomScalePageLayoutView="0" workbookViewId="0" topLeftCell="A10">
      <selection activeCell="C20" sqref="C20:D21"/>
    </sheetView>
  </sheetViews>
  <sheetFormatPr defaultColWidth="7.140625" defaultRowHeight="12.75"/>
  <cols>
    <col min="1" max="1" width="6.421875" style="45" customWidth="1"/>
    <col min="2" max="2" width="10.7109375" style="45" customWidth="1"/>
    <col min="3" max="3" width="24.140625" style="45" customWidth="1"/>
    <col min="4" max="5" width="14.00390625" style="45" customWidth="1"/>
    <col min="6" max="8" width="7.421875" style="45" customWidth="1"/>
    <col min="9" max="9" width="10.421875" style="45" customWidth="1"/>
    <col min="10" max="11" width="12.00390625" style="45" customWidth="1"/>
    <col min="12" max="12" width="12.421875" style="45" customWidth="1"/>
    <col min="13" max="27" width="7.140625" style="45" customWidth="1"/>
    <col min="28" max="28" width="16.7109375" style="45" customWidth="1"/>
    <col min="29" max="181" width="7.140625" style="45" customWidth="1"/>
    <col min="182" max="16384" width="7.140625" style="45" customWidth="1"/>
  </cols>
  <sheetData>
    <row r="1" spans="1:44" ht="15" customHeight="1">
      <c r="A1" s="43"/>
      <c r="B1" s="44" t="s">
        <v>49</v>
      </c>
      <c r="C1" s="44"/>
      <c r="D1" s="605">
        <f>IF(AND(Subcontracts!$Z$50=1),AH30,IF(AND(Subcontracts!$Z$50=2),AH42,IF(AND(Subcontracts!$Z$50=3),AH53,IF(AND(Subcontracts!$Z$50=4),AH65,0))))</f>
        <v>0</v>
      </c>
      <c r="AA1" s="831"/>
      <c r="AB1" s="832" t="s">
        <v>256</v>
      </c>
      <c r="AC1" s="833">
        <f>'Year 2'!AC1</f>
        <v>39630</v>
      </c>
      <c r="AD1" s="833">
        <f>'Year 2'!AD1</f>
        <v>39995</v>
      </c>
      <c r="AE1" s="833">
        <f>'Year 2'!AE1</f>
        <v>40360</v>
      </c>
      <c r="AF1" s="833">
        <f>'Year 2'!AF1</f>
        <v>40725</v>
      </c>
      <c r="AG1" s="833">
        <f>'Year 2'!AG1</f>
        <v>41091</v>
      </c>
      <c r="AH1" s="833">
        <f>'Year 2'!AH1</f>
        <v>41456</v>
      </c>
      <c r="AI1" s="833">
        <f>'Year 2'!AI1</f>
        <v>41821</v>
      </c>
      <c r="AJ1" s="833">
        <f>'Year 2'!AJ1</f>
        <v>42186</v>
      </c>
      <c r="AK1" s="833">
        <f>'Year 2'!AK1</f>
        <v>42552</v>
      </c>
      <c r="AL1" s="833">
        <f>'Year 2'!AL1</f>
        <v>42917</v>
      </c>
      <c r="AM1" s="833">
        <f>'Year 2'!AM1</f>
        <v>43282</v>
      </c>
      <c r="AN1" s="833">
        <f>'Year 2'!AN1</f>
        <v>43647</v>
      </c>
      <c r="AO1" s="833">
        <f>'Year 2'!AO1</f>
        <v>44013</v>
      </c>
      <c r="AP1" s="833">
        <f>'Year 2'!AP1</f>
        <v>44378</v>
      </c>
      <c r="AQ1" s="831"/>
      <c r="AR1" s="828"/>
    </row>
    <row r="2" spans="1:44" ht="15" customHeight="1">
      <c r="A2" s="43"/>
      <c r="B2" s="43" t="s">
        <v>77</v>
      </c>
      <c r="C2" s="43"/>
      <c r="D2" s="576">
        <f>Subcontracts!C9</f>
        <v>0</v>
      </c>
      <c r="AA2" s="831"/>
      <c r="AB2" s="832" t="s">
        <v>258</v>
      </c>
      <c r="AC2" s="834">
        <f>'Year 2'!AC2</f>
        <v>37.5</v>
      </c>
      <c r="AD2" s="834">
        <f>'Year 2'!AD2</f>
        <v>37.5</v>
      </c>
      <c r="AE2" s="834">
        <f>'Year 2'!AE2</f>
        <v>39</v>
      </c>
      <c r="AF2" s="834">
        <f>'Year 2'!AF2</f>
        <v>41.5</v>
      </c>
      <c r="AG2" s="834">
        <f>'Year 2'!AG2</f>
        <v>43</v>
      </c>
      <c r="AH2" s="834">
        <f>'Year 2'!AH2</f>
        <v>41</v>
      </c>
      <c r="AI2" s="834">
        <f>'Year 2'!AI2</f>
        <v>42.5</v>
      </c>
      <c r="AJ2" s="834">
        <f>'Year 2'!AJ2</f>
        <v>44</v>
      </c>
      <c r="AK2" s="834">
        <f>'Year 2'!AK2</f>
        <v>45.5</v>
      </c>
      <c r="AL2" s="834">
        <f>'Year 2'!AL2</f>
        <v>46.5</v>
      </c>
      <c r="AM2" s="834">
        <f>'Year 2'!AM2</f>
        <v>47.5</v>
      </c>
      <c r="AN2" s="834">
        <f>'Year 2'!AN2</f>
        <v>49</v>
      </c>
      <c r="AO2" s="834">
        <f>'Year 2'!AO2</f>
        <v>49</v>
      </c>
      <c r="AP2" s="834">
        <f>'Year 2'!AP2</f>
        <v>49</v>
      </c>
      <c r="AQ2" s="831"/>
      <c r="AR2" s="828"/>
    </row>
    <row r="3" spans="1:44" ht="15" customHeight="1">
      <c r="A3" s="43"/>
      <c r="B3" s="291" t="s">
        <v>87</v>
      </c>
      <c r="C3" s="291"/>
      <c r="D3" s="292" t="s">
        <v>83</v>
      </c>
      <c r="AA3" s="831"/>
      <c r="AB3" s="832" t="s">
        <v>259</v>
      </c>
      <c r="AC3" s="834">
        <f>'Year 2'!AC3</f>
        <v>16</v>
      </c>
      <c r="AD3" s="834">
        <f>'Year 2'!AD3</f>
        <v>16</v>
      </c>
      <c r="AE3" s="834">
        <f>'Year 2'!AE3</f>
        <v>17</v>
      </c>
      <c r="AF3" s="834">
        <f>'Year 2'!AF3</f>
        <v>17</v>
      </c>
      <c r="AG3" s="834">
        <f>'Year 2'!AG3</f>
        <v>17</v>
      </c>
      <c r="AH3" s="834">
        <f>'Year 2'!AH3</f>
        <v>17</v>
      </c>
      <c r="AI3" s="834">
        <f>'Year 2'!AI3</f>
        <v>15</v>
      </c>
      <c r="AJ3" s="834">
        <f>'Year 2'!AJ3</f>
        <v>15</v>
      </c>
      <c r="AK3" s="834">
        <f>'Year 2'!AK3</f>
        <v>14</v>
      </c>
      <c r="AL3" s="834">
        <f>'Year 2'!AL3</f>
        <v>14</v>
      </c>
      <c r="AM3" s="834">
        <f>'Year 2'!AM3</f>
        <v>15</v>
      </c>
      <c r="AN3" s="834">
        <f>'Year 2'!AN3</f>
        <v>15</v>
      </c>
      <c r="AO3" s="834">
        <f>'Year 2'!AO3</f>
        <v>15</v>
      </c>
      <c r="AP3" s="834">
        <f>'Year 2'!AP3</f>
        <v>15</v>
      </c>
      <c r="AQ3" s="831"/>
      <c r="AR3" s="828"/>
    </row>
    <row r="4" spans="1:44" ht="15" customHeight="1">
      <c r="A4" s="43"/>
      <c r="B4" s="43"/>
      <c r="C4" s="43"/>
      <c r="D4" s="43"/>
      <c r="AA4" s="831"/>
      <c r="AB4" s="832" t="s">
        <v>260</v>
      </c>
      <c r="AC4" s="834">
        <f>'Year 2'!AC4</f>
        <v>12.5</v>
      </c>
      <c r="AD4" s="834">
        <f>'Year 2'!AD4</f>
        <v>13.5</v>
      </c>
      <c r="AE4" s="834">
        <f>'Year 2'!AE4</f>
        <v>13</v>
      </c>
      <c r="AF4" s="834">
        <f>'Year 2'!AF4</f>
        <v>13</v>
      </c>
      <c r="AG4" s="834">
        <f>'Year 2'!AG4</f>
        <v>14.5</v>
      </c>
      <c r="AH4" s="834">
        <f>'Year 2'!AH4</f>
        <v>15</v>
      </c>
      <c r="AI4" s="834">
        <f>'Year 2'!AI4</f>
        <v>14</v>
      </c>
      <c r="AJ4" s="834">
        <f>'Year 2'!AJ4</f>
        <v>16</v>
      </c>
      <c r="AK4" s="834">
        <f>'Year 2'!AK4</f>
        <v>14</v>
      </c>
      <c r="AL4" s="834">
        <f>'Year 2'!AL4</f>
        <v>15</v>
      </c>
      <c r="AM4" s="834">
        <f>'Year 2'!AM4</f>
        <v>16</v>
      </c>
      <c r="AN4" s="834">
        <f>'Year 2'!AN4</f>
        <v>17</v>
      </c>
      <c r="AO4" s="834">
        <f>'Year 2'!AO4</f>
        <v>17</v>
      </c>
      <c r="AP4" s="834">
        <f>'Year 2'!AP4</f>
        <v>17</v>
      </c>
      <c r="AQ4" s="831"/>
      <c r="AR4" s="828"/>
    </row>
    <row r="5" spans="1:44" ht="15" customHeight="1">
      <c r="A5" s="43"/>
      <c r="B5" s="43"/>
      <c r="C5" s="43"/>
      <c r="D5" s="43"/>
      <c r="AA5" s="831"/>
      <c r="AB5" s="832" t="s">
        <v>261</v>
      </c>
      <c r="AC5" s="834">
        <f>'Year 2'!AC5</f>
        <v>5</v>
      </c>
      <c r="AD5" s="834">
        <f>'Year 2'!AD5</f>
        <v>5</v>
      </c>
      <c r="AE5" s="834">
        <f>'Year 2'!AE5</f>
        <v>5</v>
      </c>
      <c r="AF5" s="834">
        <f>'Year 2'!AF5</f>
        <v>5</v>
      </c>
      <c r="AG5" s="834">
        <f>'Year 2'!AG5</f>
        <v>5</v>
      </c>
      <c r="AH5" s="834">
        <f>'Year 2'!AH5</f>
        <v>5</v>
      </c>
      <c r="AI5" s="834">
        <f>'Year 2'!AI5</f>
        <v>5</v>
      </c>
      <c r="AJ5" s="834">
        <f>'Year 2'!AJ5</f>
        <v>5</v>
      </c>
      <c r="AK5" s="834">
        <f>'Year 2'!AK5</f>
        <v>5</v>
      </c>
      <c r="AL5" s="834">
        <f>'Year 2'!AL5</f>
        <v>5</v>
      </c>
      <c r="AM5" s="834">
        <f>'Year 2'!AM5</f>
        <v>5</v>
      </c>
      <c r="AN5" s="834">
        <f>'Year 2'!AN5</f>
        <v>5</v>
      </c>
      <c r="AO5" s="834">
        <f>'Year 2'!AO5</f>
        <v>5</v>
      </c>
      <c r="AP5" s="834">
        <f>'Year 2'!AP5</f>
        <v>5</v>
      </c>
      <c r="AQ5" s="831"/>
      <c r="AR5" s="828"/>
    </row>
    <row r="6" spans="1:44" ht="15" customHeight="1">
      <c r="A6" s="43"/>
      <c r="B6" s="43"/>
      <c r="C6" s="43"/>
      <c r="D6" s="43"/>
      <c r="AA6" s="831"/>
      <c r="AB6" s="832" t="s">
        <v>257</v>
      </c>
      <c r="AC6" s="834">
        <f>'Year 2'!AC6</f>
        <v>42.67</v>
      </c>
      <c r="AD6" s="834">
        <f>'Year 2'!AD6</f>
        <v>41.49</v>
      </c>
      <c r="AE6" s="834">
        <f>'Year 2'!AE6</f>
        <v>44.09</v>
      </c>
      <c r="AF6" s="834">
        <f>'Year 2'!AF6</f>
        <v>43.27</v>
      </c>
      <c r="AG6" s="834">
        <f>'Year 2'!AG6</f>
        <v>50.16</v>
      </c>
      <c r="AH6" s="834">
        <f>'Year 2'!AH6</f>
        <v>58.75</v>
      </c>
      <c r="AI6" s="834">
        <f>'Year 2'!AI6</f>
        <v>53.48</v>
      </c>
      <c r="AJ6" s="834">
        <f>'Year 2'!AJ6</f>
        <v>53.58</v>
      </c>
      <c r="AK6" s="834">
        <f>'Year 2'!AK6</f>
        <v>54.61</v>
      </c>
      <c r="AL6" s="834">
        <f>'Year 2'!AL6</f>
        <v>57.75</v>
      </c>
      <c r="AM6" s="834">
        <f>'Year 2'!AM6</f>
        <v>59.38</v>
      </c>
      <c r="AN6" s="834">
        <f>'Year 2'!AN6</f>
        <v>61.645</v>
      </c>
      <c r="AO6" s="834">
        <f>'Year 2'!AO6</f>
        <v>64.05</v>
      </c>
      <c r="AP6" s="834">
        <f>'Year 2'!AP6</f>
        <v>64.05</v>
      </c>
      <c r="AQ6" s="831"/>
      <c r="AR6" s="828"/>
    </row>
    <row r="7" spans="1:44" ht="6" customHeight="1">
      <c r="A7" s="43"/>
      <c r="B7" s="43"/>
      <c r="C7" s="46"/>
      <c r="D7" s="43"/>
      <c r="AA7" s="831"/>
      <c r="AB7" s="832"/>
      <c r="AC7" s="834">
        <f>'Year 2'!AC7</f>
        <v>0</v>
      </c>
      <c r="AD7" s="834">
        <f>'Year 2'!AD7</f>
        <v>0</v>
      </c>
      <c r="AE7" s="834">
        <f>'Year 2'!AE7</f>
        <v>0</v>
      </c>
      <c r="AF7" s="834">
        <f>'Year 2'!AF7</f>
        <v>0</v>
      </c>
      <c r="AG7" s="834">
        <f>'Year 2'!AG7</f>
        <v>0</v>
      </c>
      <c r="AH7" s="834">
        <f>'Year 2'!AH7</f>
        <v>0</v>
      </c>
      <c r="AI7" s="834">
        <f>'Year 2'!AI7</f>
        <v>0</v>
      </c>
      <c r="AJ7" s="834">
        <f>'Year 2'!AJ7</f>
        <v>0</v>
      </c>
      <c r="AK7" s="834">
        <f>'Year 2'!AK7</f>
        <v>0</v>
      </c>
      <c r="AL7" s="834">
        <f>'Year 2'!AL7</f>
        <v>0</v>
      </c>
      <c r="AM7" s="834">
        <f>'Year 2'!AM7</f>
        <v>0</v>
      </c>
      <c r="AN7" s="834">
        <f>'Year 2'!AN7</f>
        <v>0</v>
      </c>
      <c r="AO7" s="834">
        <f>'Year 2'!AO7</f>
        <v>0</v>
      </c>
      <c r="AP7" s="834">
        <f>'Year 2'!AP7</f>
        <v>0</v>
      </c>
      <c r="AQ7" s="831"/>
      <c r="AR7" s="828"/>
    </row>
    <row r="8" spans="3:166" ht="17.25" customHeight="1">
      <c r="C8" s="47"/>
      <c r="E8" s="586" t="s">
        <v>363</v>
      </c>
      <c r="F8" s="679">
        <f>IF(Subcontracts!$F$5&gt;=5,+FacePage!$B$14,)</f>
        <v>0</v>
      </c>
      <c r="G8" s="50"/>
      <c r="H8" s="50"/>
      <c r="K8" s="50"/>
      <c r="L8" s="50"/>
      <c r="AA8" s="831"/>
      <c r="AB8" s="832" t="s">
        <v>262</v>
      </c>
      <c r="AC8" s="834">
        <f>'Year 2'!AC8</f>
        <v>58.5</v>
      </c>
      <c r="AD8" s="834">
        <f>'Year 2'!AD8</f>
        <v>58.5</v>
      </c>
      <c r="AE8" s="834">
        <f>'Year 2'!AE8</f>
        <v>58.5</v>
      </c>
      <c r="AF8" s="834">
        <f>'Year 2'!AF8</f>
        <v>58.5</v>
      </c>
      <c r="AG8" s="834">
        <f>'Year 2'!AG8</f>
        <v>58.5</v>
      </c>
      <c r="AH8" s="834">
        <f>'Year 2'!AH8</f>
        <v>59</v>
      </c>
      <c r="AI8" s="834">
        <f>'Year 2'!AI8</f>
        <v>59</v>
      </c>
      <c r="AJ8" s="834">
        <f>'Year 2'!AJ8</f>
        <v>59.5</v>
      </c>
      <c r="AK8" s="834">
        <f>'Year 2'!AK8</f>
        <v>59.5</v>
      </c>
      <c r="AL8" s="834">
        <f>'Year 2'!AL8</f>
        <v>59.5</v>
      </c>
      <c r="AM8" s="834">
        <f>'Year 2'!AM8</f>
        <v>59.5</v>
      </c>
      <c r="AN8" s="834">
        <f>'Year 2'!AN8</f>
        <v>59.5</v>
      </c>
      <c r="AO8" s="834">
        <f>'Year 2'!AO8</f>
        <v>59.5</v>
      </c>
      <c r="AP8" s="834">
        <f>'Year 2'!AP8</f>
        <v>59.5</v>
      </c>
      <c r="AQ8" s="831"/>
      <c r="AR8" s="828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</row>
    <row r="9" spans="2:44" ht="6.75" customHeight="1">
      <c r="B9" s="53"/>
      <c r="C9" s="54"/>
      <c r="D9" s="52"/>
      <c r="E9" s="52"/>
      <c r="F9" s="52"/>
      <c r="G9" s="52"/>
      <c r="H9" s="775"/>
      <c r="I9" s="50"/>
      <c r="K9" s="52"/>
      <c r="L9" s="52"/>
      <c r="AA9" s="831"/>
      <c r="AB9" s="831"/>
      <c r="AC9" s="832"/>
      <c r="AD9" s="835"/>
      <c r="AE9" s="832"/>
      <c r="AF9" s="832"/>
      <c r="AG9" s="832"/>
      <c r="AH9" s="832"/>
      <c r="AI9" s="832"/>
      <c r="AJ9" s="832"/>
      <c r="AK9" s="832"/>
      <c r="AL9" s="832"/>
      <c r="AM9" s="832"/>
      <c r="AN9" s="832"/>
      <c r="AO9" s="832"/>
      <c r="AP9" s="832"/>
      <c r="AQ9" s="831"/>
      <c r="AR9" s="828"/>
    </row>
    <row r="10" spans="2:44" ht="3" customHeight="1">
      <c r="B10" s="56"/>
      <c r="C10" s="57"/>
      <c r="D10" s="58"/>
      <c r="E10" s="50"/>
      <c r="F10" s="50"/>
      <c r="G10" s="50"/>
      <c r="H10" s="50"/>
      <c r="I10" s="55"/>
      <c r="J10" s="55"/>
      <c r="K10" s="59"/>
      <c r="L10" s="50"/>
      <c r="AA10" s="831"/>
      <c r="AB10" s="832"/>
      <c r="AC10" s="832"/>
      <c r="AD10" s="835"/>
      <c r="AE10" s="832"/>
      <c r="AF10" s="832"/>
      <c r="AG10" s="832"/>
      <c r="AH10" s="832"/>
      <c r="AI10" s="832"/>
      <c r="AJ10" s="832"/>
      <c r="AK10" s="832"/>
      <c r="AL10" s="832"/>
      <c r="AM10" s="832"/>
      <c r="AN10" s="832"/>
      <c r="AO10" s="832"/>
      <c r="AP10" s="832"/>
      <c r="AQ10" s="831"/>
      <c r="AR10" s="828"/>
    </row>
    <row r="11" spans="2:44" ht="9" customHeight="1">
      <c r="B11" s="60"/>
      <c r="C11" s="50"/>
      <c r="D11" s="50"/>
      <c r="I11" s="50"/>
      <c r="J11" s="61" t="s">
        <v>51</v>
      </c>
      <c r="K11" s="62" t="s">
        <v>52</v>
      </c>
      <c r="AA11" s="831"/>
      <c r="AB11" s="831"/>
      <c r="AC11" s="832"/>
      <c r="AD11" s="836"/>
      <c r="AE11" s="833"/>
      <c r="AF11" s="833"/>
      <c r="AG11" s="833"/>
      <c r="AH11" s="833"/>
      <c r="AI11" s="833"/>
      <c r="AJ11" s="833"/>
      <c r="AK11" s="833"/>
      <c r="AL11" s="833"/>
      <c r="AM11" s="833"/>
      <c r="AN11" s="833"/>
      <c r="AO11" s="833"/>
      <c r="AP11" s="833"/>
      <c r="AQ11" s="831"/>
      <c r="AR11" s="828"/>
    </row>
    <row r="12" spans="2:44" ht="12" customHeight="1">
      <c r="B12" s="60"/>
      <c r="C12" s="63" t="s">
        <v>53</v>
      </c>
      <c r="D12" s="50"/>
      <c r="E12" s="43"/>
      <c r="F12" s="43"/>
      <c r="G12" s="43"/>
      <c r="H12" s="43"/>
      <c r="J12" s="64"/>
      <c r="K12" s="59"/>
      <c r="AA12" s="831"/>
      <c r="AB12" s="831"/>
      <c r="AC12" s="837">
        <f>'Year 2'!AC12</f>
        <v>39814</v>
      </c>
      <c r="AD12" s="837">
        <f>'Year 2'!AD12</f>
        <v>40179</v>
      </c>
      <c r="AE12" s="837">
        <f>'Year 2'!AE12</f>
        <v>40544</v>
      </c>
      <c r="AF12" s="837">
        <f>'Year 2'!AF12</f>
        <v>40909</v>
      </c>
      <c r="AG12" s="837">
        <f>'Year 2'!AG12</f>
        <v>41275</v>
      </c>
      <c r="AH12" s="837">
        <f>'Year 2'!AH12</f>
        <v>41640</v>
      </c>
      <c r="AI12" s="837">
        <f>'Year 2'!AI12</f>
        <v>42005</v>
      </c>
      <c r="AJ12" s="837">
        <f>'Year 2'!AJ12</f>
        <v>42370</v>
      </c>
      <c r="AK12" s="837">
        <f>'Year 2'!AK12</f>
        <v>42736</v>
      </c>
      <c r="AL12" s="837">
        <f>'Year 2'!AL12</f>
        <v>43101</v>
      </c>
      <c r="AM12" s="837">
        <f>'Year 2'!AM12</f>
        <v>43466</v>
      </c>
      <c r="AN12" s="837">
        <f>'Year 2'!AN12</f>
        <v>43831</v>
      </c>
      <c r="AO12" s="837">
        <f>'Year 2'!AO12</f>
        <v>44197</v>
      </c>
      <c r="AP12" s="837">
        <f>'Year 2'!AP12</f>
        <v>44562</v>
      </c>
      <c r="AQ12" s="831"/>
      <c r="AR12" s="828"/>
    </row>
    <row r="13" spans="2:44" ht="12.75" customHeight="1">
      <c r="B13" s="60"/>
      <c r="C13" s="63" t="s">
        <v>54</v>
      </c>
      <c r="D13" s="65"/>
      <c r="E13" s="43"/>
      <c r="F13" s="43"/>
      <c r="G13" s="46"/>
      <c r="H13" s="46"/>
      <c r="J13" s="66">
        <f>IF(Subcontracts!F5&gt;=5,(EDATE('Year 4'!J13,12)),)</f>
        <v>1461</v>
      </c>
      <c r="K13" s="67">
        <f>IF(J13&gt;0,((EDATE(J13,12))-1),)</f>
        <v>1826</v>
      </c>
      <c r="L13" s="68"/>
      <c r="AA13" s="831"/>
      <c r="AB13" s="831"/>
      <c r="AC13" s="837" t="str">
        <f>'Year 2'!AC13</f>
        <v>FY09</v>
      </c>
      <c r="AD13" s="837" t="str">
        <f>'Year 2'!AD13</f>
        <v>FY10</v>
      </c>
      <c r="AE13" s="837" t="str">
        <f>'Year 2'!AE13</f>
        <v>FY11</v>
      </c>
      <c r="AF13" s="837" t="str">
        <f>'Year 2'!AF13</f>
        <v>FY12</v>
      </c>
      <c r="AG13" s="837" t="str">
        <f>'Year 2'!AG13</f>
        <v>FY13</v>
      </c>
      <c r="AH13" s="837" t="str">
        <f>'Year 2'!AH13</f>
        <v>FY14</v>
      </c>
      <c r="AI13" s="837" t="str">
        <f>'Year 2'!AI13</f>
        <v>FY15</v>
      </c>
      <c r="AJ13" s="837" t="str">
        <f>'Year 2'!AJ13</f>
        <v>FY16</v>
      </c>
      <c r="AK13" s="837" t="str">
        <f>'Year 2'!AK13</f>
        <v>FY17</v>
      </c>
      <c r="AL13" s="837" t="str">
        <f>'Year 2'!AL13</f>
        <v>FY18</v>
      </c>
      <c r="AM13" s="837" t="str">
        <f>'Year 2'!AM13</f>
        <v>FY19</v>
      </c>
      <c r="AN13" s="837" t="str">
        <f>'Year 2'!AN13</f>
        <v>FY20</v>
      </c>
      <c r="AO13" s="837" t="str">
        <f>'Year 2'!AO13</f>
        <v>FY21</v>
      </c>
      <c r="AP13" s="837" t="str">
        <f>'Year 2'!AP13</f>
        <v>FY22</v>
      </c>
      <c r="AQ13" s="831"/>
      <c r="AR13" s="828"/>
    </row>
    <row r="14" spans="2:44" ht="3.75" customHeight="1">
      <c r="B14" s="60"/>
      <c r="C14" s="50"/>
      <c r="D14" s="50"/>
      <c r="F14" s="775"/>
      <c r="G14" s="775"/>
      <c r="H14" s="775"/>
      <c r="I14" s="878"/>
      <c r="J14" s="52"/>
      <c r="K14" s="70"/>
      <c r="L14" s="52"/>
      <c r="AA14" s="831"/>
      <c r="AB14" s="831"/>
      <c r="AC14" s="831"/>
      <c r="AD14" s="831"/>
      <c r="AE14" s="831"/>
      <c r="AF14" s="831"/>
      <c r="AG14" s="831"/>
      <c r="AH14" s="831"/>
      <c r="AI14" s="831"/>
      <c r="AJ14" s="831"/>
      <c r="AK14" s="831"/>
      <c r="AL14" s="831"/>
      <c r="AM14" s="831"/>
      <c r="AN14" s="831"/>
      <c r="AO14" s="831"/>
      <c r="AP14" s="831"/>
      <c r="AQ14" s="831"/>
      <c r="AR14" s="828"/>
    </row>
    <row r="15" spans="2:44" ht="12" customHeight="1">
      <c r="B15" s="71"/>
      <c r="C15" s="872" t="s">
        <v>406</v>
      </c>
      <c r="D15" s="866"/>
      <c r="E15" s="57"/>
      <c r="F15" s="849"/>
      <c r="G15" s="50"/>
      <c r="H15" s="75"/>
      <c r="I15" s="867"/>
      <c r="J15" s="776"/>
      <c r="K15" s="850"/>
      <c r="L15" s="850"/>
      <c r="M15" s="49"/>
      <c r="N15" s="49"/>
      <c r="AA15" s="831"/>
      <c r="AB15" s="831"/>
      <c r="AC15" s="831"/>
      <c r="AD15" s="831"/>
      <c r="AE15" s="831"/>
      <c r="AF15" s="831"/>
      <c r="AG15" s="831"/>
      <c r="AH15" s="831"/>
      <c r="AI15" s="831"/>
      <c r="AJ15" s="831"/>
      <c r="AK15" s="831"/>
      <c r="AL15" s="831"/>
      <c r="AM15" s="831"/>
      <c r="AN15" s="831"/>
      <c r="AO15" s="831"/>
      <c r="AP15" s="831"/>
      <c r="AQ15" s="831"/>
      <c r="AR15" s="828"/>
    </row>
    <row r="16" spans="2:44" ht="12" customHeight="1">
      <c r="B16" s="861"/>
      <c r="C16" s="733" t="s">
        <v>395</v>
      </c>
      <c r="D16" s="116"/>
      <c r="E16" s="75"/>
      <c r="F16" s="849"/>
      <c r="G16" s="50"/>
      <c r="H16" s="75"/>
      <c r="I16" s="867"/>
      <c r="J16" s="776"/>
      <c r="K16" s="850"/>
      <c r="L16" s="850"/>
      <c r="M16" s="49"/>
      <c r="N16" s="49"/>
      <c r="AA16" s="831"/>
      <c r="AB16" s="831"/>
      <c r="AC16" s="831"/>
      <c r="AD16" s="831"/>
      <c r="AE16" s="831"/>
      <c r="AF16" s="831"/>
      <c r="AG16" s="831"/>
      <c r="AH16" s="831"/>
      <c r="AI16" s="831"/>
      <c r="AJ16" s="831"/>
      <c r="AK16" s="831"/>
      <c r="AL16" s="831"/>
      <c r="AM16" s="831"/>
      <c r="AN16" s="831"/>
      <c r="AO16" s="831"/>
      <c r="AP16" s="831"/>
      <c r="AQ16" s="831"/>
      <c r="AR16" s="828"/>
    </row>
    <row r="17" spans="2:44" ht="12" customHeight="1">
      <c r="B17" s="74" t="s">
        <v>55</v>
      </c>
      <c r="C17" s="733" t="s">
        <v>397</v>
      </c>
      <c r="D17" s="116"/>
      <c r="E17" s="75"/>
      <c r="F17" s="849"/>
      <c r="G17" s="50"/>
      <c r="H17" s="75"/>
      <c r="I17" s="867"/>
      <c r="J17" s="776"/>
      <c r="K17" s="850"/>
      <c r="L17" s="850"/>
      <c r="M17" s="49"/>
      <c r="N17" s="49"/>
      <c r="AA17" s="831"/>
      <c r="AB17" s="831"/>
      <c r="AC17" s="831"/>
      <c r="AD17" s="831"/>
      <c r="AE17" s="831"/>
      <c r="AF17" s="831"/>
      <c r="AG17" s="831"/>
      <c r="AH17" s="831"/>
      <c r="AI17" s="831"/>
      <c r="AJ17" s="831"/>
      <c r="AK17" s="831"/>
      <c r="AL17" s="831"/>
      <c r="AM17" s="831"/>
      <c r="AN17" s="831"/>
      <c r="AO17" s="831"/>
      <c r="AP17" s="831"/>
      <c r="AQ17" s="831"/>
      <c r="AR17" s="828"/>
    </row>
    <row r="18" spans="2:57" ht="10.5" customHeight="1">
      <c r="B18" s="861" t="s">
        <v>60</v>
      </c>
      <c r="C18" s="858"/>
      <c r="D18" s="853"/>
      <c r="E18" s="870" t="s">
        <v>61</v>
      </c>
      <c r="F18" s="1036" t="s">
        <v>340</v>
      </c>
      <c r="G18" s="1036" t="s">
        <v>341</v>
      </c>
      <c r="H18" s="1036" t="s">
        <v>400</v>
      </c>
      <c r="I18" s="1059" t="s">
        <v>58</v>
      </c>
      <c r="J18" s="857" t="s">
        <v>62</v>
      </c>
      <c r="K18" s="857" t="s">
        <v>55</v>
      </c>
      <c r="L18" s="858"/>
      <c r="M18" s="49"/>
      <c r="N18" s="49"/>
      <c r="AA18" s="831"/>
      <c r="AB18" s="831"/>
      <c r="AC18" s="831"/>
      <c r="AD18" s="831"/>
      <c r="AE18" s="831"/>
      <c r="AF18" s="831"/>
      <c r="AG18" s="831"/>
      <c r="AH18" s="831"/>
      <c r="AI18" s="831"/>
      <c r="AJ18" s="838" t="s">
        <v>21</v>
      </c>
      <c r="AK18" s="838" t="s">
        <v>21</v>
      </c>
      <c r="AL18" s="838" t="s">
        <v>21</v>
      </c>
      <c r="AM18" s="838" t="s">
        <v>21</v>
      </c>
      <c r="AN18" s="831"/>
      <c r="AO18" s="831"/>
      <c r="AP18" s="831"/>
      <c r="AQ18" s="831"/>
      <c r="AR18" s="828"/>
      <c r="BE18" s="79"/>
    </row>
    <row r="19" spans="2:57" ht="12" customHeight="1">
      <c r="B19" s="861" t="s">
        <v>63</v>
      </c>
      <c r="C19" s="862" t="s">
        <v>64</v>
      </c>
      <c r="D19" s="69"/>
      <c r="E19" s="865" t="s">
        <v>65</v>
      </c>
      <c r="F19" s="1037"/>
      <c r="G19" s="1037"/>
      <c r="H19" s="1037"/>
      <c r="I19" s="1060"/>
      <c r="J19" s="859" t="s">
        <v>66</v>
      </c>
      <c r="K19" s="859" t="s">
        <v>67</v>
      </c>
      <c r="L19" s="80" t="s">
        <v>68</v>
      </c>
      <c r="M19" s="49"/>
      <c r="N19" s="49"/>
      <c r="AA19" s="831"/>
      <c r="AB19" s="831"/>
      <c r="AC19" s="831"/>
      <c r="AD19" s="831"/>
      <c r="AE19" s="831"/>
      <c r="AF19" s="831"/>
      <c r="AG19" s="831"/>
      <c r="AH19" s="831"/>
      <c r="AI19" s="831"/>
      <c r="AJ19" s="838" t="s">
        <v>383</v>
      </c>
      <c r="AK19" s="838" t="s">
        <v>389</v>
      </c>
      <c r="AL19" s="838" t="s">
        <v>390</v>
      </c>
      <c r="AM19" s="838" t="s">
        <v>391</v>
      </c>
      <c r="AN19" s="831"/>
      <c r="AO19" s="831"/>
      <c r="AP19" s="831"/>
      <c r="AQ19" s="831"/>
      <c r="BE19" s="79"/>
    </row>
    <row r="20" spans="2:57" ht="13.5" customHeight="1">
      <c r="B20" s="606"/>
      <c r="C20" s="1028">
        <f>IF(Subcontracts!$F$5=0,"",IF(Subcontracts!$F$5&gt;=5,+'Year 4'!C20:D21,""))</f>
        <v>0</v>
      </c>
      <c r="D20" s="1030"/>
      <c r="E20" s="1056" t="s">
        <v>403</v>
      </c>
      <c r="F20" s="1062">
        <f>IF(Subcontracts!$F$5=0,"",IF(Subcontracts!$F$5&gt;=5,+'Year 4'!F20:F21,""))</f>
        <v>0</v>
      </c>
      <c r="G20" s="1062">
        <f>IF(Subcontracts!$F$5=0,"",IF(Subcontracts!$F$5&gt;=5,+'Year 4'!G20:G21,""))</f>
        <v>0</v>
      </c>
      <c r="H20" s="1064">
        <f>IF(Subcontracts!$F$5=0,"",IF(Subcontracts!$F$5&gt;=5,+'Year 4'!H20:H21,""))</f>
        <v>0</v>
      </c>
      <c r="I20" s="86"/>
      <c r="J20" s="87"/>
      <c r="K20" s="87"/>
      <c r="L20" s="88"/>
      <c r="M20" s="49"/>
      <c r="N20" s="49"/>
      <c r="AA20" s="831"/>
      <c r="AB20" s="831"/>
      <c r="AC20" s="831"/>
      <c r="AD20" s="831"/>
      <c r="AE20" s="831"/>
      <c r="AF20" s="831"/>
      <c r="AG20" s="831"/>
      <c r="AH20" s="831"/>
      <c r="AI20" s="831"/>
      <c r="AJ20" s="831"/>
      <c r="AK20" s="831"/>
      <c r="AL20" s="831"/>
      <c r="AM20" s="831"/>
      <c r="AN20" s="831"/>
      <c r="AO20" s="831"/>
      <c r="AP20" s="831"/>
      <c r="AQ20" s="831"/>
      <c r="BE20" s="79"/>
    </row>
    <row r="21" spans="2:57" ht="13.5" customHeight="1">
      <c r="B21" s="605">
        <f>IF(AND(Subcontracts!$Z$50=1),AJ21,IF(AND(Subcontracts!$Z$50=2),AK21,IF(AND(Subcontracts!$Z$50=3),AL21,IF(AND(Subcontracts!$Z$50=4),AM21,0))))</f>
        <v>0</v>
      </c>
      <c r="C21" s="1020"/>
      <c r="D21" s="1031"/>
      <c r="E21" s="1057"/>
      <c r="F21" s="1063"/>
      <c r="G21" s="1063"/>
      <c r="H21" s="1063"/>
      <c r="I21" s="90">
        <f>IF(Subcontracts!$F$5&gt;=5,+'Year 4'!I21+('Year 4'!I21*('Year 4'!$D$2/100)),)</f>
        <v>0</v>
      </c>
      <c r="J21" s="91">
        <f>IF(Subcontracts!$F$5&gt;=5,(((I21/12)*F20)+((I21/9)*G20)+((I21/3)*H20)),)</f>
        <v>0</v>
      </c>
      <c r="K21" s="92">
        <f>(B21/100)*J21</f>
        <v>0</v>
      </c>
      <c r="L21" s="93">
        <f>J21+K21</f>
        <v>0</v>
      </c>
      <c r="M21" s="94"/>
      <c r="N21" s="94"/>
      <c r="O21" s="95"/>
      <c r="P21" s="95"/>
      <c r="Q21" s="95"/>
      <c r="AA21" s="831"/>
      <c r="AB21" s="839"/>
      <c r="AC21" s="831"/>
      <c r="AD21" s="840"/>
      <c r="AE21" s="840"/>
      <c r="AF21" s="840"/>
      <c r="AG21" s="840"/>
      <c r="AH21" s="840"/>
      <c r="AI21" s="840"/>
      <c r="AJ21" s="841">
        <f>IF(AND('Year 1'!$B21=$AD$25),$AH$25,IF(AND('Year 1'!$B21=$AD$26),$AH$26,IF(AND('Year 1'!$B21=$AD$27),$AH$27,IF(AND('Year 1'!$B21=$AD$28),$AH$28,IF(AND('Year 1'!$B21=$AD$29),$AH$29,0)))))</f>
        <v>0</v>
      </c>
      <c r="AK21" s="841">
        <f>IF(AND('Year 1'!$B21=$AD$37),$AH$37,IF(AND('Year 1'!$B21=$AD$38),$AH$38,IF(AND('Year 1'!$B21=$AD$39),$AH$39,IF(AND('Year 1'!$B21=$AD$40),$AH$40,IF(AND('Year 1'!$B21=$AD$41),$AH$41,0)))))</f>
        <v>0</v>
      </c>
      <c r="AL21" s="841">
        <f>IF(AND('Year 1'!$B21=$AD$48),$AH$48,IF(AND('Year 1'!$B21=$AD$49),$AH$49,IF(AND('Year 1'!$B21=$AD$50),$AH$50,IF(AND('Year 1'!$B21=$AD$51),$AH$51,IF(AND('Year 1'!$B21=$AD$52),$AH$52,0)))))</f>
        <v>0</v>
      </c>
      <c r="AM21" s="841">
        <f>IF(AND('Year 1'!$B21=$AD$60),$AH$60,IF(AND('Year 1'!$B21=$AD$61),$AH$61,IF(AND('Year 1'!$B21=$AD$62),$AH$62,IF(AND('Year 1'!$B21=$AD$63),$AH$63,IF(AND('Year 1'!$B21=$AD$64),$AH$64,0)))))</f>
        <v>0</v>
      </c>
      <c r="AN21" s="840"/>
      <c r="AO21" s="840"/>
      <c r="AP21" s="831"/>
      <c r="AQ21" s="828"/>
      <c r="BE21" s="95"/>
    </row>
    <row r="22" spans="2:57" ht="13.5" customHeight="1">
      <c r="B22" s="606"/>
      <c r="C22" s="1018">
        <f>IF(Subcontracts!$F$5=0,"",IF(Subcontracts!$F$5&gt;=5,+'Year 4'!C22:D23,""))</f>
        <v>0</v>
      </c>
      <c r="D22" s="1030"/>
      <c r="E22" s="1046">
        <f>IF(Subcontracts!$F$5=0,"",IF(Subcontracts!$F$5&gt;=5,+'Year 4'!E22:E23,""))</f>
        <v>0</v>
      </c>
      <c r="F22" s="1062">
        <f>IF(Subcontracts!$F$5=0,"",IF(Subcontracts!$F$5&gt;=5,+'Year 4'!F22:F23,""))</f>
        <v>0</v>
      </c>
      <c r="G22" s="1062">
        <f>IF(Subcontracts!$F$5=0,"",IF(Subcontracts!$F$5&gt;=5,+'Year 4'!G22:G23,""))</f>
        <v>0</v>
      </c>
      <c r="H22" s="1064">
        <f>IF(Subcontracts!$F$5=0,"",IF(Subcontracts!$F$5&gt;=5,+'Year 4'!H22:H23,""))</f>
        <v>0</v>
      </c>
      <c r="I22" s="97"/>
      <c r="J22" s="87"/>
      <c r="K22" s="87"/>
      <c r="L22" s="88"/>
      <c r="M22" s="94"/>
      <c r="N22" s="94"/>
      <c r="O22" s="95"/>
      <c r="P22" s="95"/>
      <c r="Q22" s="95"/>
      <c r="AA22" s="831"/>
      <c r="AB22" s="832" t="str">
        <f>'Year 2'!AB22</f>
        <v>number 1</v>
      </c>
      <c r="AC22" s="831"/>
      <c r="AD22" s="831"/>
      <c r="AE22" s="831"/>
      <c r="AF22" s="831"/>
      <c r="AG22" s="831"/>
      <c r="AH22" s="831"/>
      <c r="AI22" s="831"/>
      <c r="AJ22" s="841">
        <f>IF(AND('Year 1'!$B22=$AD$25),$AH$25,IF(AND('Year 1'!$B22=$AD$26),$AH$26,IF(AND('Year 1'!$B22=$AD$27),$AH$27,IF(AND('Year 1'!$B22=$AD$28),$AH$28,IF(AND('Year 1'!$B22=$AD$29),$AH$29,0)))))</f>
        <v>0</v>
      </c>
      <c r="AK22" s="841">
        <f>IF(AND('Year 1'!$B22=$AD$37),$AH$37,IF(AND('Year 1'!$B22=$AD$38),$AH$38,IF(AND('Year 1'!$B22=$AD$39),$AH$39,IF(AND('Year 1'!$B22=$AD$40),$AH$40,IF(AND('Year 1'!$B22=$AD$41),$AH$41,0)))))</f>
        <v>0</v>
      </c>
      <c r="AL22" s="841">
        <f>IF(AND('Year 1'!$B22=$AD$48),$AH$48,IF(AND('Year 1'!$B22=$AD$49),$AH$49,IF(AND('Year 1'!$B22=$AD$50),$AH$50,IF(AND('Year 1'!$B22=$AD$51),$AH$51,IF(AND('Year 1'!$B22=$AD$52),$AH$52,0)))))</f>
        <v>0</v>
      </c>
      <c r="AM22" s="841">
        <f>IF(AND('Year 1'!$B22=$AD$60),$AH$60,IF(AND('Year 1'!$B22=$AD$61),$AH$61,IF(AND('Year 1'!$B22=$AD$62),$AH$62,IF(AND('Year 1'!$B22=$AD$63),$AH$63,IF(AND('Year 1'!$B22=$AD$64),$AH$64,0)))))</f>
        <v>0</v>
      </c>
      <c r="AN22" s="831"/>
      <c r="AO22" s="831"/>
      <c r="AP22" s="831"/>
      <c r="AQ22" s="828"/>
      <c r="BE22" s="95"/>
    </row>
    <row r="23" spans="2:57" ht="13.5" customHeight="1">
      <c r="B23" s="605">
        <f>IF(AND(Subcontracts!$Z$50=1),AJ23,IF(AND(Subcontracts!$Z$50=2),AK23,IF(AND(Subcontracts!$Z$50=3),AL23,IF(AND(Subcontracts!$Z$50=4),AM23,0))))</f>
        <v>0</v>
      </c>
      <c r="C23" s="1026"/>
      <c r="D23" s="1027"/>
      <c r="E23" s="1047"/>
      <c r="F23" s="1063"/>
      <c r="G23" s="1063"/>
      <c r="H23" s="1063"/>
      <c r="I23" s="99">
        <f>IF(Subcontracts!$F$5&gt;=5,+'Year 4'!I23+('Year 4'!I23*('Year 4'!$D$2/100)),)</f>
        <v>0</v>
      </c>
      <c r="J23" s="91">
        <f>IF(Subcontracts!$F$5&gt;=5,(((I23/12)*F22)+((I23/9)*G22)+((I23/3)*H22)),)</f>
        <v>0</v>
      </c>
      <c r="K23" s="92">
        <f>(B23/100)*J23</f>
        <v>0</v>
      </c>
      <c r="L23" s="93">
        <f>J23+K23</f>
        <v>0</v>
      </c>
      <c r="M23" s="94"/>
      <c r="N23" s="94"/>
      <c r="O23" s="95"/>
      <c r="P23" s="95"/>
      <c r="Q23" s="95"/>
      <c r="AA23" s="831"/>
      <c r="AB23" s="832" t="str">
        <f>'Year 2'!AB23</f>
        <v>year 1 start between 1/1/16 - 12/31/16</v>
      </c>
      <c r="AC23" s="831"/>
      <c r="AD23" s="840"/>
      <c r="AE23" s="840"/>
      <c r="AF23" s="840"/>
      <c r="AG23" s="840"/>
      <c r="AH23" s="840"/>
      <c r="AI23" s="840"/>
      <c r="AJ23" s="841">
        <f>IF(AND('Year 1'!$B23=$AD$25),$AH$25,IF(AND('Year 1'!$B23=$AD$26),$AH$26,IF(AND('Year 1'!$B23=$AD$27),$AH$27,IF(AND('Year 1'!$B23=$AD$28),$AH$28,IF(AND('Year 1'!$B23=$AD$29),$AH$29,0)))))</f>
        <v>0</v>
      </c>
      <c r="AK23" s="841">
        <f>IF(AND('Year 1'!$B23=$AD$37),$AH$37,IF(AND('Year 1'!$B23=$AD$38),$AH$38,IF(AND('Year 1'!$B23=$AD$39),$AH$39,IF(AND('Year 1'!$B23=$AD$40),$AH$40,IF(AND('Year 1'!$B23=$AD$41),$AH$41,0)))))</f>
        <v>0</v>
      </c>
      <c r="AL23" s="841">
        <f>IF(AND('Year 1'!$B23=$AD$48),$AH$48,IF(AND('Year 1'!$B23=$AD$49),$AH$49,IF(AND('Year 1'!$B23=$AD$50),$AH$50,IF(AND('Year 1'!$B23=$AD$51),$AH$51,IF(AND('Year 1'!$B23=$AD$52),$AH$52,0)))))</f>
        <v>0</v>
      </c>
      <c r="AM23" s="841">
        <f>IF(AND('Year 1'!$B23=$AD$60),$AH$60,IF(AND('Year 1'!$B23=$AD$61),$AH$61,IF(AND('Year 1'!$B23=$AD$62),$AH$62,IF(AND('Year 1'!$B23=$AD$63),$AH$63,IF(AND('Year 1'!$B23=$AD$64),$AH$64,0)))))</f>
        <v>0</v>
      </c>
      <c r="AN23" s="840"/>
      <c r="AO23" s="840"/>
      <c r="AP23" s="831"/>
      <c r="AQ23" s="828"/>
      <c r="BE23" s="95"/>
    </row>
    <row r="24" spans="2:57" ht="13.5" customHeight="1">
      <c r="B24" s="606"/>
      <c r="C24" s="1022">
        <f>IF(Subcontracts!$F$5=0,"",IF(Subcontracts!$F$5&gt;=5,+'Year 4'!C24:D25,""))</f>
        <v>0</v>
      </c>
      <c r="D24" s="1025"/>
      <c r="E24" s="1048">
        <f>IF(Subcontracts!$F$5=0,"",IF(Subcontracts!$F$5&gt;=5,+'Year 4'!E24:E25,""))</f>
        <v>0</v>
      </c>
      <c r="F24" s="1062">
        <f>IF(Subcontracts!$F$5=0,"",IF(Subcontracts!$F$5&gt;=5,+'Year 4'!F24:F25,""))</f>
        <v>0</v>
      </c>
      <c r="G24" s="1062">
        <f>IF(Subcontracts!$F$5=0,"",IF(Subcontracts!$F$5&gt;=5,+'Year 4'!G24:G25,""))</f>
        <v>0</v>
      </c>
      <c r="H24" s="1064">
        <f>IF(Subcontracts!$F$5=0,"",IF(Subcontracts!$F$5&gt;=5,+'Year 4'!H24:H25,""))</f>
        <v>0</v>
      </c>
      <c r="I24" s="100"/>
      <c r="J24" s="87"/>
      <c r="K24" s="87"/>
      <c r="L24" s="88"/>
      <c r="M24" s="94"/>
      <c r="N24" s="94"/>
      <c r="O24" s="95"/>
      <c r="P24" s="95"/>
      <c r="Q24" s="95"/>
      <c r="AA24" s="831"/>
      <c r="AB24" s="832">
        <f>'Year 2'!AB24</f>
        <v>0</v>
      </c>
      <c r="AC24" s="831"/>
      <c r="AD24" s="832" t="str">
        <f>'Year 2'!AD24</f>
        <v>year 1</v>
      </c>
      <c r="AE24" s="832" t="str">
        <f>'Year 2'!AE24</f>
        <v>year 2</v>
      </c>
      <c r="AF24" s="832" t="str">
        <f>'Year 2'!AF24</f>
        <v>year 3</v>
      </c>
      <c r="AG24" s="832" t="str">
        <f>'Year 2'!AG24</f>
        <v>year 4</v>
      </c>
      <c r="AH24" s="832" t="str">
        <f>'Year 2'!AH24</f>
        <v>year 5</v>
      </c>
      <c r="AI24" s="831"/>
      <c r="AJ24" s="841">
        <f>IF(AND('Year 1'!$B24=$AD$25),$AH$25,IF(AND('Year 1'!$B24=$AD$26),$AH$26,IF(AND('Year 1'!$B24=$AD$27),$AH$27,IF(AND('Year 1'!$B24=$AD$28),$AH$28,IF(AND('Year 1'!$B24=$AD$29),$AH$29,0)))))</f>
        <v>0</v>
      </c>
      <c r="AK24" s="841">
        <f>IF(AND('Year 1'!$B24=$AD$37),$AH$37,IF(AND('Year 1'!$B24=$AD$38),$AH$38,IF(AND('Year 1'!$B24=$AD$39),$AH$39,IF(AND('Year 1'!$B24=$AD$40),$AH$40,IF(AND('Year 1'!$B24=$AD$41),$AH$41,0)))))</f>
        <v>0</v>
      </c>
      <c r="AL24" s="841">
        <f>IF(AND('Year 1'!$B24=$AD$48),$AH$48,IF(AND('Year 1'!$B24=$AD$49),$AH$49,IF(AND('Year 1'!$B24=$AD$50),$AH$50,IF(AND('Year 1'!$B24=$AD$51),$AH$51,IF(AND('Year 1'!$B24=$AD$52),$AH$52,0)))))</f>
        <v>0</v>
      </c>
      <c r="AM24" s="841">
        <f>IF(AND('Year 1'!$B24=$AD$60),$AH$60,IF(AND('Year 1'!$B24=$AD$61),$AH$61,IF(AND('Year 1'!$B24=$AD$62),$AH$62,IF(AND('Year 1'!$B24=$AD$63),$AH$63,IF(AND('Year 1'!$B24=$AD$64),$AH$64,0)))))</f>
        <v>0</v>
      </c>
      <c r="AN24" s="831"/>
      <c r="AO24" s="831"/>
      <c r="AP24" s="831"/>
      <c r="AQ24" s="828"/>
      <c r="BE24" s="95"/>
    </row>
    <row r="25" spans="2:57" ht="13.5" customHeight="1">
      <c r="B25" s="605">
        <f>IF(AND(Subcontracts!$Z$50=1),AJ25,IF(AND(Subcontracts!$Z$50=2),AK25,IF(AND(Subcontracts!$Z$50=3),AL25,IF(AND(Subcontracts!$Z$50=4),AM25,0))))</f>
        <v>0</v>
      </c>
      <c r="C25" s="1026"/>
      <c r="D25" s="1027"/>
      <c r="E25" s="1049"/>
      <c r="F25" s="1063"/>
      <c r="G25" s="1063"/>
      <c r="H25" s="1063"/>
      <c r="I25" s="90">
        <f>IF(Subcontracts!$F$5&gt;=5,+'Year 4'!I25+('Year 4'!I25*('Year 4'!$D$2/100)),)</f>
        <v>0</v>
      </c>
      <c r="J25" s="91">
        <f>IF(Subcontracts!$F$5&gt;=5,(((I25/12)*F24)+((I25/9)*G24)+((I25/3)*H24)),)</f>
        <v>0</v>
      </c>
      <c r="K25" s="92">
        <f>(B25/100)*J25</f>
        <v>0</v>
      </c>
      <c r="L25" s="93">
        <f>J25+K25</f>
        <v>0</v>
      </c>
      <c r="M25" s="94"/>
      <c r="N25" s="94"/>
      <c r="O25" s="95"/>
      <c r="P25" s="95"/>
      <c r="Q25" s="95"/>
      <c r="AA25" s="831"/>
      <c r="AB25" s="832" t="str">
        <f>'Year 2'!AB25</f>
        <v>RF</v>
      </c>
      <c r="AC25" s="831"/>
      <c r="AD25" s="840">
        <f>'Year 2'!AD25</f>
        <v>45.5</v>
      </c>
      <c r="AE25" s="840">
        <f>'Year 2'!AE25</f>
        <v>46.5</v>
      </c>
      <c r="AF25" s="840">
        <f>'Year 2'!AF25</f>
        <v>47.5</v>
      </c>
      <c r="AG25" s="840">
        <f>'Year 2'!AG25</f>
        <v>49</v>
      </c>
      <c r="AH25" s="840">
        <f>'Year 2'!AH25</f>
        <v>49</v>
      </c>
      <c r="AI25" s="840"/>
      <c r="AJ25" s="841">
        <f>IF(AND('Year 1'!$B25=$AD$25),$AH$25,IF(AND('Year 1'!$B25=$AD$26),$AH$26,IF(AND('Year 1'!$B25=$AD$27),$AH$27,IF(AND('Year 1'!$B25=$AD$28),$AH$28,IF(AND('Year 1'!$B25=$AD$29),$AH$29,0)))))</f>
        <v>0</v>
      </c>
      <c r="AK25" s="841">
        <f>IF(AND('Year 1'!$B25=$AD$37),$AH$37,IF(AND('Year 1'!$B25=$AD$38),$AH$38,IF(AND('Year 1'!$B25=$AD$39),$AH$39,IF(AND('Year 1'!$B25=$AD$40),$AH$40,IF(AND('Year 1'!$B25=$AD$41),$AH$41,0)))))</f>
        <v>0</v>
      </c>
      <c r="AL25" s="841">
        <f>IF(AND('Year 1'!$B25=$AD$48),$AH$48,IF(AND('Year 1'!$B25=$AD$49),$AH$49,IF(AND('Year 1'!$B25=$AD$50),$AH$50,IF(AND('Year 1'!$B25=$AD$51),$AH$51,IF(AND('Year 1'!$B25=$AD$52),$AH$52,0)))))</f>
        <v>0</v>
      </c>
      <c r="AM25" s="841">
        <f>IF(AND('Year 1'!$B25=$AD$60),$AH$60,IF(AND('Year 1'!$B25=$AD$61),$AH$61,IF(AND('Year 1'!$B25=$AD$62),$AH$62,IF(AND('Year 1'!$B25=$AD$63),$AH$63,IF(AND('Year 1'!$B25=$AD$64),$AH$64,0)))))</f>
        <v>0</v>
      </c>
      <c r="AN25" s="840"/>
      <c r="AO25" s="840"/>
      <c r="AP25" s="831"/>
      <c r="AQ25" s="828"/>
      <c r="BE25" s="95"/>
    </row>
    <row r="26" spans="2:57" ht="13.5" customHeight="1">
      <c r="B26" s="606"/>
      <c r="C26" s="1022">
        <f>IF(Subcontracts!$F$5=0,"",IF(Subcontracts!$F$5&gt;=5,+'Year 4'!C26:D27,""))</f>
        <v>0</v>
      </c>
      <c r="D26" s="1023"/>
      <c r="E26" s="1048">
        <f>IF(Subcontracts!$F$5=0,"",IF(Subcontracts!$F$5&gt;=5,+'Year 4'!E26:E27,""))</f>
        <v>0</v>
      </c>
      <c r="F26" s="1062">
        <f>IF(Subcontracts!$F$5=0,"",IF(Subcontracts!$F$5&gt;=5,+'Year 4'!F26:F27,""))</f>
        <v>0</v>
      </c>
      <c r="G26" s="1062">
        <f>IF(Subcontracts!$F$5=0,"",IF(Subcontracts!$F$5&gt;=5,+'Year 4'!G26:G27,""))</f>
        <v>0</v>
      </c>
      <c r="H26" s="1064">
        <f>IF(Subcontracts!$F$5=0,"",IF(Subcontracts!$F$5&gt;=5,+'Year 4'!H26:H27,""))</f>
        <v>0</v>
      </c>
      <c r="I26" s="97"/>
      <c r="J26" s="87"/>
      <c r="K26" s="87"/>
      <c r="L26" s="88"/>
      <c r="M26" s="94"/>
      <c r="N26" s="94"/>
      <c r="O26" s="95"/>
      <c r="P26" s="95"/>
      <c r="Q26" s="95"/>
      <c r="AA26" s="831"/>
      <c r="AB26" s="832" t="str">
        <f>'Year 2'!AB26</f>
        <v>IFR Summer</v>
      </c>
      <c r="AC26" s="831"/>
      <c r="AD26" s="840">
        <f>'Year 2'!AD26</f>
        <v>14</v>
      </c>
      <c r="AE26" s="840">
        <f>'Year 2'!AE26</f>
        <v>14</v>
      </c>
      <c r="AF26" s="840">
        <f>'Year 2'!AF26</f>
        <v>15</v>
      </c>
      <c r="AG26" s="840">
        <f>'Year 2'!AG26</f>
        <v>15</v>
      </c>
      <c r="AH26" s="840">
        <f>'Year 2'!AH26</f>
        <v>15</v>
      </c>
      <c r="AI26" s="831"/>
      <c r="AJ26" s="841">
        <f>IF(AND('Year 1'!$B26=$AD$25),$AH$25,IF(AND('Year 1'!$B26=$AD$26),$AH$26,IF(AND('Year 1'!$B26=$AD$27),$AH$27,IF(AND('Year 1'!$B26=$AD$28),$AH$28,IF(AND('Year 1'!$B26=$AD$29),$AH$29,0)))))</f>
        <v>0</v>
      </c>
      <c r="AK26" s="841">
        <f>IF(AND('Year 1'!$B26=$AD$37),$AH$37,IF(AND('Year 1'!$B26=$AD$38),$AH$38,IF(AND('Year 1'!$B26=$AD$39),$AH$39,IF(AND('Year 1'!$B26=$AD$40),$AH$40,IF(AND('Year 1'!$B26=$AD$41),$AH$41,0)))))</f>
        <v>0</v>
      </c>
      <c r="AL26" s="841">
        <f>IF(AND('Year 1'!$B26=$AD$48),$AH$48,IF(AND('Year 1'!$B26=$AD$49),$AH$49,IF(AND('Year 1'!$B26=$AD$50),$AH$50,IF(AND('Year 1'!$B26=$AD$51),$AH$51,IF(AND('Year 1'!$B26=$AD$52),$AH$52,0)))))</f>
        <v>0</v>
      </c>
      <c r="AM26" s="841">
        <f>IF(AND('Year 1'!$B26=$AD$60),$AH$60,IF(AND('Year 1'!$B26=$AD$61),$AH$61,IF(AND('Year 1'!$B26=$AD$62),$AH$62,IF(AND('Year 1'!$B26=$AD$63),$AH$63,IF(AND('Year 1'!$B26=$AD$64),$AH$64,0)))))</f>
        <v>0</v>
      </c>
      <c r="AN26" s="831"/>
      <c r="AO26" s="831"/>
      <c r="AP26" s="831"/>
      <c r="AQ26" s="828"/>
      <c r="BE26" s="95"/>
    </row>
    <row r="27" spans="2:57" ht="13.5" customHeight="1">
      <c r="B27" s="605">
        <f>IF(AND(Subcontracts!$Z$50=1),AJ27,IF(AND(Subcontracts!$Z$50=2),AK27,IF(AND(Subcontracts!$Z$50=3),AL27,IF(AND(Subcontracts!$Z$50=4),AM27,0))))</f>
        <v>0</v>
      </c>
      <c r="C27" s="1024"/>
      <c r="D27" s="1024"/>
      <c r="E27" s="1047"/>
      <c r="F27" s="1063"/>
      <c r="G27" s="1063"/>
      <c r="H27" s="1063"/>
      <c r="I27" s="90">
        <f>IF(Subcontracts!$F$5&gt;=5,+'Year 4'!I27+('Year 4'!I27*('Year 4'!$D$2/100)),)</f>
        <v>0</v>
      </c>
      <c r="J27" s="91">
        <f>IF(Subcontracts!$F$5&gt;=5,(((I27/12)*F26)+((I27/9)*G26)+((I27/3)*H26)),)</f>
        <v>0</v>
      </c>
      <c r="K27" s="92">
        <f>(B27/100)*J27</f>
        <v>0</v>
      </c>
      <c r="L27" s="93">
        <f>J27+K27</f>
        <v>0</v>
      </c>
      <c r="M27" s="94"/>
      <c r="N27" s="94"/>
      <c r="O27" s="95"/>
      <c r="P27" s="95"/>
      <c r="Q27" s="95"/>
      <c r="AA27" s="831"/>
      <c r="AB27" s="832" t="str">
        <f>'Year 2'!AB27</f>
        <v>Graduate</v>
      </c>
      <c r="AC27" s="831"/>
      <c r="AD27" s="840">
        <f>'Year 2'!AD27</f>
        <v>14</v>
      </c>
      <c r="AE27" s="840">
        <f>'Year 2'!AE27</f>
        <v>15</v>
      </c>
      <c r="AF27" s="840">
        <f>'Year 2'!AF27</f>
        <v>16</v>
      </c>
      <c r="AG27" s="840">
        <f>'Year 2'!AG27</f>
        <v>17</v>
      </c>
      <c r="AH27" s="840">
        <f>'Year 2'!AH27</f>
        <v>17</v>
      </c>
      <c r="AI27" s="840"/>
      <c r="AJ27" s="841">
        <f>IF(AND('Year 1'!$B27=$AD$25),$AH$25,IF(AND('Year 1'!$B27=$AD$26),$AH$26,IF(AND('Year 1'!$B27=$AD$27),$AH$27,IF(AND('Year 1'!$B27=$AD$28),$AH$28,IF(AND('Year 1'!$B27=$AD$29),$AH$29,0)))))</f>
        <v>0</v>
      </c>
      <c r="AK27" s="841">
        <f>IF(AND('Year 1'!$B27=$AD$37),$AH$37,IF(AND('Year 1'!$B27=$AD$38),$AH$38,IF(AND('Year 1'!$B27=$AD$39),$AH$39,IF(AND('Year 1'!$B27=$AD$40),$AH$40,IF(AND('Year 1'!$B27=$AD$41),$AH$41,0)))))</f>
        <v>0</v>
      </c>
      <c r="AL27" s="841">
        <f>IF(AND('Year 1'!$B27=$AD$48),$AH$48,IF(AND('Year 1'!$B27=$AD$49),$AH$49,IF(AND('Year 1'!$B27=$AD$50),$AH$50,IF(AND('Year 1'!$B27=$AD$51),$AH$51,IF(AND('Year 1'!$B27=$AD$52),$AH$52,0)))))</f>
        <v>0</v>
      </c>
      <c r="AM27" s="841">
        <f>IF(AND('Year 1'!$B27=$AD$60),$AH$60,IF(AND('Year 1'!$B27=$AD$61),$AH$61,IF(AND('Year 1'!$B27=$AD$62),$AH$62,IF(AND('Year 1'!$B27=$AD$63),$AH$63,IF(AND('Year 1'!$B27=$AD$64),$AH$64,0)))))</f>
        <v>0</v>
      </c>
      <c r="AN27" s="840"/>
      <c r="AO27" s="840"/>
      <c r="AP27" s="831"/>
      <c r="AQ27" s="828"/>
      <c r="BE27" s="95"/>
    </row>
    <row r="28" spans="2:57" ht="13.5" customHeight="1">
      <c r="B28" s="606"/>
      <c r="C28" s="1022">
        <f>IF(Subcontracts!$F$5=0,"",IF(Subcontracts!$F$5&gt;=5,+'Year 4'!C28:D29,""))</f>
        <v>0</v>
      </c>
      <c r="D28" s="1025"/>
      <c r="E28" s="1042">
        <f>IF(Subcontracts!$F$5=0,"",IF(Subcontracts!$F$5&gt;=5,+'Year 4'!E28:E29,""))</f>
        <v>0</v>
      </c>
      <c r="F28" s="1062">
        <f>IF(Subcontracts!$F$5=0,"",IF(Subcontracts!$F$5&gt;=5,+'Year 4'!F28:F29,""))</f>
        <v>0</v>
      </c>
      <c r="G28" s="1062">
        <f>IF(Subcontracts!$F$5=0,"",IF(Subcontracts!$F$5&gt;=5,+'Year 4'!G28:G29,""))</f>
        <v>0</v>
      </c>
      <c r="H28" s="1064">
        <f>IF(Subcontracts!$F$5=0,"",IF(Subcontracts!$F$5&gt;=5,+'Year 4'!H28:H29,""))</f>
        <v>0</v>
      </c>
      <c r="I28" s="97"/>
      <c r="J28" s="87"/>
      <c r="K28" s="87"/>
      <c r="L28" s="88"/>
      <c r="M28" s="94"/>
      <c r="N28" s="94"/>
      <c r="O28" s="95"/>
      <c r="P28" s="95"/>
      <c r="Q28" s="95"/>
      <c r="AA28" s="831"/>
      <c r="AB28" s="832" t="str">
        <f>'Year 2'!AB28</f>
        <v>Undergrad</v>
      </c>
      <c r="AC28" s="831"/>
      <c r="AD28" s="840">
        <f>'Year 2'!AD28</f>
        <v>5</v>
      </c>
      <c r="AE28" s="840">
        <f>'Year 2'!AE28</f>
        <v>5</v>
      </c>
      <c r="AF28" s="840">
        <f>'Year 2'!AF28</f>
        <v>5</v>
      </c>
      <c r="AG28" s="840">
        <f>'Year 2'!AG28</f>
        <v>5</v>
      </c>
      <c r="AH28" s="840">
        <f>'Year 2'!AH28</f>
        <v>5</v>
      </c>
      <c r="AI28" s="831"/>
      <c r="AJ28" s="841">
        <f>IF(AND('Year 1'!$B28=$AD$25),$AH$25,IF(AND('Year 1'!$B28=$AD$26),$AH$26,IF(AND('Year 1'!$B28=$AD$27),$AH$27,IF(AND('Year 1'!$B28=$AD$28),$AH$28,IF(AND('Year 1'!$B28=$AD$29),$AH$29,0)))))</f>
        <v>0</v>
      </c>
      <c r="AK28" s="841">
        <f>IF(AND('Year 1'!$B28=$AD$37),$AH$37,IF(AND('Year 1'!$B28=$AD$38),$AH$38,IF(AND('Year 1'!$B28=$AD$39),$AH$39,IF(AND('Year 1'!$B28=$AD$40),$AH$40,IF(AND('Year 1'!$B28=$AD$41),$AH$41,0)))))</f>
        <v>0</v>
      </c>
      <c r="AL28" s="841">
        <f>IF(AND('Year 1'!$B28=$AD$48),$AH$48,IF(AND('Year 1'!$B28=$AD$49),$AH$49,IF(AND('Year 1'!$B28=$AD$50),$AH$50,IF(AND('Year 1'!$B28=$AD$51),$AH$51,IF(AND('Year 1'!$B28=$AD$52),$AH$52,0)))))</f>
        <v>0</v>
      </c>
      <c r="AM28" s="841">
        <f>IF(AND('Year 1'!$B28=$AD$60),$AH$60,IF(AND('Year 1'!$B28=$AD$61),$AH$61,IF(AND('Year 1'!$B28=$AD$62),$AH$62,IF(AND('Year 1'!$B28=$AD$63),$AH$63,IF(AND('Year 1'!$B28=$AD$64),$AH$64,0)))))</f>
        <v>0</v>
      </c>
      <c r="AN28" s="831"/>
      <c r="AO28" s="831"/>
      <c r="AP28" s="831"/>
      <c r="AQ28" s="828"/>
      <c r="BE28" s="95"/>
    </row>
    <row r="29" spans="2:57" ht="13.5" customHeight="1">
      <c r="B29" s="605">
        <f>IF(AND(Subcontracts!$Z$50=1),AJ29,IF(AND(Subcontracts!$Z$50=2),AK29,IF(AND(Subcontracts!$Z$50=3),AL29,IF(AND(Subcontracts!$Z$50=4),AM29,0))))</f>
        <v>0</v>
      </c>
      <c r="C29" s="1026"/>
      <c r="D29" s="1027"/>
      <c r="E29" s="1043"/>
      <c r="F29" s="1063"/>
      <c r="G29" s="1063"/>
      <c r="H29" s="1063"/>
      <c r="I29" s="90">
        <f>IF(Subcontracts!$F$5&gt;=5,+'Year 4'!I29+('Year 4'!I29*('Year 4'!$D$2/100)),)</f>
        <v>0</v>
      </c>
      <c r="J29" s="91">
        <f>IF(Subcontracts!$F$5&gt;=5,(((I29/12)*F28)+((I29/9)*G28)+((I29/3)*H28)),)</f>
        <v>0</v>
      </c>
      <c r="K29" s="92">
        <f>(B29/100)*J29</f>
        <v>0</v>
      </c>
      <c r="L29" s="93">
        <f>J29+K29</f>
        <v>0</v>
      </c>
      <c r="M29" s="94"/>
      <c r="N29" s="94"/>
      <c r="O29" s="95"/>
      <c r="P29" s="95"/>
      <c r="Q29" s="95"/>
      <c r="AA29" s="831"/>
      <c r="AB29" s="832" t="str">
        <f>'Year 2'!AB29</f>
        <v>IFR</v>
      </c>
      <c r="AC29" s="831"/>
      <c r="AD29" s="840">
        <f>'Year 2'!AD29</f>
        <v>54.61</v>
      </c>
      <c r="AE29" s="840">
        <f>'Year 2'!AE29</f>
        <v>57.75</v>
      </c>
      <c r="AF29" s="840">
        <f>'Year 2'!AF29</f>
        <v>59.38</v>
      </c>
      <c r="AG29" s="840">
        <f>'Year 2'!AG29</f>
        <v>61.645</v>
      </c>
      <c r="AH29" s="840">
        <f>'Year 2'!AH29</f>
        <v>64.05</v>
      </c>
      <c r="AI29" s="840"/>
      <c r="AJ29" s="841">
        <f>IF(AND('Year 1'!$B29=$AD$25),$AH$25,IF(AND('Year 1'!$B29=$AD$26),$AH$26,IF(AND('Year 1'!$B29=$AD$27),$AH$27,IF(AND('Year 1'!$B29=$AD$28),$AH$28,IF(AND('Year 1'!$B29=$AD$29),$AH$29,0)))))</f>
        <v>0</v>
      </c>
      <c r="AK29" s="841">
        <f>IF(AND('Year 1'!$B29=$AD$37),$AH$37,IF(AND('Year 1'!$B29=$AD$38),$AH$38,IF(AND('Year 1'!$B29=$AD$39),$AH$39,IF(AND('Year 1'!$B29=$AD$40),$AH$40,IF(AND('Year 1'!$B29=$AD$41),$AH$41,0)))))</f>
        <v>0</v>
      </c>
      <c r="AL29" s="841">
        <f>IF(AND('Year 1'!$B29=$AD$48),$AH$48,IF(AND('Year 1'!$B29=$AD$49),$AH$49,IF(AND('Year 1'!$B29=$AD$50),$AH$50,IF(AND('Year 1'!$B29=$AD$51),$AH$51,IF(AND('Year 1'!$B29=$AD$52),$AH$52,0)))))</f>
        <v>0</v>
      </c>
      <c r="AM29" s="841">
        <f>IF(AND('Year 1'!$B29=$AD$60),$AH$60,IF(AND('Year 1'!$B29=$AD$61),$AH$61,IF(AND('Year 1'!$B29=$AD$62),$AH$62,IF(AND('Year 1'!$B29=$AD$63),$AH$63,IF(AND('Year 1'!$B29=$AD$64),$AH$64,0)))))</f>
        <v>0</v>
      </c>
      <c r="AN29" s="840"/>
      <c r="AO29" s="840"/>
      <c r="AP29" s="831"/>
      <c r="AQ29" s="828"/>
      <c r="BE29" s="95"/>
    </row>
    <row r="30" spans="2:57" ht="13.5" customHeight="1">
      <c r="B30" s="606"/>
      <c r="C30" s="1028">
        <f>IF(Subcontracts!$F$5=0,"",IF(Subcontracts!$F$5&gt;=5,+'Year 4'!C30:D31,""))</f>
        <v>0</v>
      </c>
      <c r="D30" s="1029"/>
      <c r="E30" s="1044">
        <f>IF(Subcontracts!$F$5=0,"",IF(Subcontracts!$F$5&gt;=5,+'Year 4'!E30:E31,""))</f>
        <v>0</v>
      </c>
      <c r="F30" s="1062">
        <f>IF(Subcontracts!$F$5=0,"",IF(Subcontracts!$F$5&gt;=5,+'Year 4'!F30:F31,""))</f>
        <v>0</v>
      </c>
      <c r="G30" s="1062">
        <f>IF(Subcontracts!$F$5=0,"",IF(Subcontracts!$F$5&gt;=5,+'Year 4'!G30:G31,""))</f>
        <v>0</v>
      </c>
      <c r="H30" s="1064">
        <f>IF(Subcontracts!$F$5=0,"",IF(Subcontracts!$F$5&gt;=5,+'Year 4'!H30:H31,""))</f>
        <v>0</v>
      </c>
      <c r="I30" s="97"/>
      <c r="J30" s="87"/>
      <c r="K30" s="87"/>
      <c r="L30" s="88"/>
      <c r="M30" s="94"/>
      <c r="N30" s="94"/>
      <c r="O30" s="95"/>
      <c r="P30" s="95"/>
      <c r="Q30" s="95"/>
      <c r="AA30" s="831"/>
      <c r="AB30" s="832" t="str">
        <f>'Year 2'!AB30</f>
        <v>F&amp;A</v>
      </c>
      <c r="AC30" s="831"/>
      <c r="AD30" s="840">
        <f>'Year 2'!AD30</f>
        <v>59.5</v>
      </c>
      <c r="AE30" s="840">
        <f>'Year 2'!AE30</f>
        <v>59.5</v>
      </c>
      <c r="AF30" s="840">
        <f>'Year 2'!AF30</f>
        <v>59.5</v>
      </c>
      <c r="AG30" s="840">
        <f>'Year 2'!AG30</f>
        <v>59.5</v>
      </c>
      <c r="AH30" s="840">
        <f>'Year 2'!AH30</f>
        <v>59.5</v>
      </c>
      <c r="AI30" s="831"/>
      <c r="AJ30" s="841">
        <f>IF(AND('Year 1'!$B30=$AD$25),$AH$25,IF(AND('Year 1'!$B30=$AD$26),$AH$26,IF(AND('Year 1'!$B30=$AD$27),$AH$27,IF(AND('Year 1'!$B30=$AD$28),$AH$28,IF(AND('Year 1'!$B30=$AD$29),$AH$29,0)))))</f>
        <v>0</v>
      </c>
      <c r="AK30" s="841">
        <f>IF(AND('Year 1'!$B30=$AD$37),$AH$37,IF(AND('Year 1'!$B30=$AD$38),$AH$38,IF(AND('Year 1'!$B30=$AD$39),$AH$39,IF(AND('Year 1'!$B30=$AD$40),$AH$40,IF(AND('Year 1'!$B30=$AD$41),$AH$41,0)))))</f>
        <v>0</v>
      </c>
      <c r="AL30" s="841">
        <f>IF(AND('Year 1'!$B30=$AD$48),$AH$48,IF(AND('Year 1'!$B30=$AD$49),$AH$49,IF(AND('Year 1'!$B30=$AD$50),$AH$50,IF(AND('Year 1'!$B30=$AD$51),$AH$51,IF(AND('Year 1'!$B30=$AD$52),$AH$52,0)))))</f>
        <v>0</v>
      </c>
      <c r="AM30" s="841">
        <f>IF(AND('Year 1'!$B30=$AD$60),$AH$60,IF(AND('Year 1'!$B30=$AD$61),$AH$61,IF(AND('Year 1'!$B30=$AD$62),$AH$62,IF(AND('Year 1'!$B30=$AD$63),$AH$63,IF(AND('Year 1'!$B30=$AD$64),$AH$64,0)))))</f>
        <v>0</v>
      </c>
      <c r="AN30" s="831"/>
      <c r="AO30" s="831"/>
      <c r="AP30" s="831"/>
      <c r="AQ30" s="828"/>
      <c r="BE30" s="95"/>
    </row>
    <row r="31" spans="2:57" ht="13.5" customHeight="1">
      <c r="B31" s="605">
        <f>IF(AND(Subcontracts!$Z$50=1),AJ31,IF(AND(Subcontracts!$Z$50=2),AK31,IF(AND(Subcontracts!$Z$50=3),AL31,IF(AND(Subcontracts!$Z$50=4),AM31,0))))</f>
        <v>0</v>
      </c>
      <c r="C31" s="1020"/>
      <c r="D31" s="1021"/>
      <c r="E31" s="1041"/>
      <c r="F31" s="1063"/>
      <c r="G31" s="1063"/>
      <c r="H31" s="1063"/>
      <c r="I31" s="99">
        <f>IF(Subcontracts!$F$5&gt;=5,+'Year 4'!I31+('Year 4'!I31*('Year 4'!$D$2/100)),)</f>
        <v>0</v>
      </c>
      <c r="J31" s="91">
        <f>IF(Subcontracts!$F$5&gt;=5,(((I31/12)*F30)+((I31/9)*G30)+((I31/3)*H30)),)</f>
        <v>0</v>
      </c>
      <c r="K31" s="92">
        <f>(B31/100)*J31</f>
        <v>0</v>
      </c>
      <c r="L31" s="93">
        <f>J31+K31</f>
        <v>0</v>
      </c>
      <c r="M31" s="94"/>
      <c r="N31" s="94"/>
      <c r="O31" s="95"/>
      <c r="P31" s="95"/>
      <c r="Q31" s="95"/>
      <c r="AA31" s="831"/>
      <c r="AB31" s="832">
        <f>'Year 2'!AB31</f>
        <v>0</v>
      </c>
      <c r="AC31" s="831"/>
      <c r="AD31" s="840">
        <f>'Year 2'!AD31</f>
        <v>0</v>
      </c>
      <c r="AE31" s="840">
        <f>'Year 2'!AE31</f>
        <v>0</v>
      </c>
      <c r="AF31" s="840">
        <f>'Year 2'!AF31</f>
        <v>0</v>
      </c>
      <c r="AG31" s="840">
        <f>'Year 2'!AG31</f>
        <v>0</v>
      </c>
      <c r="AH31" s="840">
        <f>'Year 2'!AH31</f>
        <v>0</v>
      </c>
      <c r="AI31" s="840"/>
      <c r="AJ31" s="841">
        <f>IF(AND('Year 1'!$B31=$AD$25),$AH$25,IF(AND('Year 1'!$B31=$AD$26),$AH$26,IF(AND('Year 1'!$B31=$AD$27),$AH$27,IF(AND('Year 1'!$B31=$AD$28),$AH$28,IF(AND('Year 1'!$B31=$AD$29),$AH$29,0)))))</f>
        <v>0</v>
      </c>
      <c r="AK31" s="841">
        <f>IF(AND('Year 1'!$B31=$AD$37),$AH$37,IF(AND('Year 1'!$B31=$AD$38),$AH$38,IF(AND('Year 1'!$B31=$AD$39),$AH$39,IF(AND('Year 1'!$B31=$AD$40),$AH$40,IF(AND('Year 1'!$B31=$AD$41),$AH$41,0)))))</f>
        <v>0</v>
      </c>
      <c r="AL31" s="841">
        <f>IF(AND('Year 1'!$B31=$AD$48),$AH$48,IF(AND('Year 1'!$B31=$AD$49),$AH$49,IF(AND('Year 1'!$B31=$AD$50),$AH$50,IF(AND('Year 1'!$B31=$AD$51),$AH$51,IF(AND('Year 1'!$B31=$AD$52),$AH$52,0)))))</f>
        <v>0</v>
      </c>
      <c r="AM31" s="841">
        <f>IF(AND('Year 1'!$B31=$AD$60),$AH$60,IF(AND('Year 1'!$B31=$AD$61),$AH$61,IF(AND('Year 1'!$B31=$AD$62),$AH$62,IF(AND('Year 1'!$B31=$AD$63),$AH$63,IF(AND('Year 1'!$B31=$AD$64),$AH$64,0)))))</f>
        <v>0</v>
      </c>
      <c r="AN31" s="840"/>
      <c r="AO31" s="840"/>
      <c r="AP31" s="831"/>
      <c r="AQ31" s="828"/>
      <c r="BE31" s="95"/>
    </row>
    <row r="32" spans="2:57" ht="13.5" customHeight="1">
      <c r="B32" s="606"/>
      <c r="C32" s="1018">
        <f>IF(Subcontracts!$F$5=0,"",IF(Subcontracts!$F$5&gt;=5,+'Year 4'!C32:D33,""))</f>
        <v>0</v>
      </c>
      <c r="D32" s="1019"/>
      <c r="E32" s="1040">
        <f>IF(Subcontracts!$F$5=0,"",IF(Subcontracts!$F$5&gt;=5,+'Year 4'!E32:E33,""))</f>
        <v>0</v>
      </c>
      <c r="F32" s="1062">
        <f>IF(Subcontracts!$F$5=0,"",IF(Subcontracts!$F$5&gt;=5,+'Year 4'!F32:F33,""))</f>
        <v>0</v>
      </c>
      <c r="G32" s="1062">
        <f>IF(Subcontracts!$F$5=0,"",IF(Subcontracts!$F$5&gt;=5,+'Year 4'!G32:G33,""))</f>
        <v>0</v>
      </c>
      <c r="H32" s="1064">
        <f>IF(Subcontracts!$F$5=0,"",IF(Subcontracts!$F$5&gt;=5,+'Year 4'!H32:H33,""))</f>
        <v>0</v>
      </c>
      <c r="I32" s="100"/>
      <c r="J32" s="87"/>
      <c r="K32" s="87"/>
      <c r="L32" s="88"/>
      <c r="M32" s="94"/>
      <c r="N32" s="94"/>
      <c r="O32" s="95"/>
      <c r="P32" s="95"/>
      <c r="Q32" s="95"/>
      <c r="AA32" s="831"/>
      <c r="AB32" s="832">
        <f>'Year 2'!AB32</f>
        <v>0</v>
      </c>
      <c r="AC32" s="831"/>
      <c r="AD32" s="840">
        <f>'Year 2'!AD32</f>
        <v>0</v>
      </c>
      <c r="AE32" s="840">
        <f>'Year 2'!AE32</f>
        <v>0</v>
      </c>
      <c r="AF32" s="840">
        <f>'Year 2'!AF32</f>
        <v>0</v>
      </c>
      <c r="AG32" s="840">
        <f>'Year 2'!AG32</f>
        <v>0</v>
      </c>
      <c r="AH32" s="840">
        <f>'Year 2'!AH32</f>
        <v>0</v>
      </c>
      <c r="AI32" s="831"/>
      <c r="AJ32" s="841">
        <f>IF(AND('Year 1'!$B32=$AD$25),$AH$25,IF(AND('Year 1'!$B32=$AD$26),$AH$26,IF(AND('Year 1'!$B32=$AD$27),$AH$27,IF(AND('Year 1'!$B32=$AD$28),$AH$28,IF(AND('Year 1'!$B32=$AD$29),$AH$29,0)))))</f>
        <v>0</v>
      </c>
      <c r="AK32" s="841">
        <f>IF(AND('Year 1'!$B32=$AD$37),$AH$37,IF(AND('Year 1'!$B32=$AD$38),$AH$38,IF(AND('Year 1'!$B32=$AD$39),$AH$39,IF(AND('Year 1'!$B32=$AD$40),$AH$40,IF(AND('Year 1'!$B32=$AD$41),$AH$41,0)))))</f>
        <v>0</v>
      </c>
      <c r="AL32" s="841">
        <f>IF(AND('Year 1'!$B32=$AD$48),$AH$48,IF(AND('Year 1'!$B32=$AD$49),$AH$49,IF(AND('Year 1'!$B32=$AD$50),$AH$50,IF(AND('Year 1'!$B32=$AD$51),$AH$51,IF(AND('Year 1'!$B32=$AD$52),$AH$52,0)))))</f>
        <v>0</v>
      </c>
      <c r="AM32" s="841">
        <f>IF(AND('Year 1'!$B32=$AD$60),$AH$60,IF(AND('Year 1'!$B32=$AD$61),$AH$61,IF(AND('Year 1'!$B32=$AD$62),$AH$62,IF(AND('Year 1'!$B32=$AD$63),$AH$63,IF(AND('Year 1'!$B32=$AD$64),$AH$64,0)))))</f>
        <v>0</v>
      </c>
      <c r="AN32" s="831"/>
      <c r="AO32" s="831"/>
      <c r="AP32" s="831"/>
      <c r="AQ32" s="828"/>
      <c r="BE32" s="95"/>
    </row>
    <row r="33" spans="2:57" ht="13.5" customHeight="1">
      <c r="B33" s="605">
        <f>IF(AND(Subcontracts!$Z$50=1),AJ33,IF(AND(Subcontracts!$Z$50=2),AK33,IF(AND(Subcontracts!$Z$50=3),AL33,IF(AND(Subcontracts!$Z$50=4),AM33,0))))</f>
        <v>0</v>
      </c>
      <c r="C33" s="1020"/>
      <c r="D33" s="1021"/>
      <c r="E33" s="1041"/>
      <c r="F33" s="1063"/>
      <c r="G33" s="1063"/>
      <c r="H33" s="1063"/>
      <c r="I33" s="90">
        <f>IF(Subcontracts!$F$5&gt;=5,+'Year 4'!I33+('Year 4'!I33*('Year 4'!$D$2/100)),)</f>
        <v>0</v>
      </c>
      <c r="J33" s="91">
        <f>IF(Subcontracts!$F$5&gt;=5,(((I33/12)*F32)+((I33/9)*G32)+((I33/3)*H32)),)</f>
        <v>0</v>
      </c>
      <c r="K33" s="92">
        <f>(B33/100)*J33</f>
        <v>0</v>
      </c>
      <c r="L33" s="93">
        <f>J33+K33</f>
        <v>0</v>
      </c>
      <c r="M33" s="94"/>
      <c r="N33" s="94"/>
      <c r="O33" s="95"/>
      <c r="P33" s="95"/>
      <c r="Q33" s="95"/>
      <c r="AA33" s="831"/>
      <c r="AB33" s="832">
        <f>'Year 2'!AB33</f>
        <v>0</v>
      </c>
      <c r="AC33" s="831"/>
      <c r="AD33" s="840">
        <f>'Year 2'!AD33</f>
        <v>0</v>
      </c>
      <c r="AE33" s="840">
        <f>'Year 2'!AE33</f>
        <v>0</v>
      </c>
      <c r="AF33" s="840">
        <f>'Year 2'!AF33</f>
        <v>0</v>
      </c>
      <c r="AG33" s="840">
        <f>'Year 2'!AG33</f>
        <v>0</v>
      </c>
      <c r="AH33" s="840">
        <f>'Year 2'!AH33</f>
        <v>0</v>
      </c>
      <c r="AI33" s="840"/>
      <c r="AJ33" s="841">
        <f>IF(AND('Year 1'!$B33=$AD$25),$AH$25,IF(AND('Year 1'!$B33=$AD$26),$AH$26,IF(AND('Year 1'!$B33=$AD$27),$AH$27,IF(AND('Year 1'!$B33=$AD$28),$AH$28,IF(AND('Year 1'!$B33=$AD$29),$AH$29,0)))))</f>
        <v>0</v>
      </c>
      <c r="AK33" s="841">
        <f>IF(AND('Year 1'!$B33=$AD$37),$AH$37,IF(AND('Year 1'!$B33=$AD$38),$AH$38,IF(AND('Year 1'!$B33=$AD$39),$AH$39,IF(AND('Year 1'!$B33=$AD$40),$AH$40,IF(AND('Year 1'!$B33=$AD$41),$AH$41,0)))))</f>
        <v>0</v>
      </c>
      <c r="AL33" s="841">
        <f>IF(AND('Year 1'!$B33=$AD$48),$AH$48,IF(AND('Year 1'!$B33=$AD$49),$AH$49,IF(AND('Year 1'!$B33=$AD$50),$AH$50,IF(AND('Year 1'!$B33=$AD$51),$AH$51,IF(AND('Year 1'!$B33=$AD$52),$AH$52,0)))))</f>
        <v>0</v>
      </c>
      <c r="AM33" s="841">
        <f>IF(AND('Year 1'!$B33=$AD$60),$AH$60,IF(AND('Year 1'!$B33=$AD$61),$AH$61,IF(AND('Year 1'!$B33=$AD$62),$AH$62,IF(AND('Year 1'!$B33=$AD$63),$AH$63,IF(AND('Year 1'!$B33=$AD$64),$AH$64,0)))))</f>
        <v>0</v>
      </c>
      <c r="AN33" s="840"/>
      <c r="AO33" s="840"/>
      <c r="AP33" s="831"/>
      <c r="AQ33" s="828"/>
      <c r="BE33" s="95"/>
    </row>
    <row r="34" spans="2:57" ht="13.5" customHeight="1">
      <c r="B34" s="606"/>
      <c r="C34" s="1018">
        <f>IF(Subcontracts!$F$5=0,"",IF(Subcontracts!$F$5&gt;=5,+'Year 4'!C34:D35,""))</f>
        <v>0</v>
      </c>
      <c r="D34" s="1019"/>
      <c r="E34" s="1040">
        <f>IF(Subcontracts!$F$5=0,"",IF(Subcontracts!$F$5&gt;=5,+'Year 4'!E34:E35,""))</f>
        <v>0</v>
      </c>
      <c r="F34" s="1062">
        <f>IF(Subcontracts!$F$5=0,"",IF(Subcontracts!$F$5&gt;=5,+'Year 4'!F34:F35,""))</f>
        <v>0</v>
      </c>
      <c r="G34" s="1062">
        <f>IF(Subcontracts!$F$5=0,"",IF(Subcontracts!$F$5&gt;=5,+'Year 4'!G34:G35,""))</f>
        <v>0</v>
      </c>
      <c r="H34" s="1064">
        <f>IF(Subcontracts!$F$5=0,"",IF(Subcontracts!$F$5&gt;=5,+'Year 4'!H34:H35,""))</f>
        <v>0</v>
      </c>
      <c r="I34" s="97"/>
      <c r="J34" s="87"/>
      <c r="K34" s="87"/>
      <c r="L34" s="88"/>
      <c r="M34" s="94"/>
      <c r="N34" s="94"/>
      <c r="O34" s="95"/>
      <c r="P34" s="95"/>
      <c r="Q34" s="95"/>
      <c r="AA34" s="831"/>
      <c r="AB34" s="832" t="str">
        <f>'Year 2'!AB34</f>
        <v>number 2</v>
      </c>
      <c r="AC34" s="831"/>
      <c r="AD34" s="840">
        <f>'Year 2'!AD34</f>
        <v>0</v>
      </c>
      <c r="AE34" s="840">
        <f>'Year 2'!AE34</f>
        <v>0</v>
      </c>
      <c r="AF34" s="840">
        <f>'Year 2'!AF34</f>
        <v>0</v>
      </c>
      <c r="AG34" s="840">
        <f>'Year 2'!AG34</f>
        <v>0</v>
      </c>
      <c r="AH34" s="840">
        <f>'Year 2'!AH34</f>
        <v>0</v>
      </c>
      <c r="AI34" s="831"/>
      <c r="AJ34" s="841">
        <f>IF(AND('Year 1'!$B34=$AD$25),$AH$25,IF(AND('Year 1'!$B34=$AD$26),$AH$26,IF(AND('Year 1'!$B34=$AD$27),$AH$27,IF(AND('Year 1'!$B34=$AD$28),$AH$28,IF(AND('Year 1'!$B34=$AD$29),$AH$29,0)))))</f>
        <v>0</v>
      </c>
      <c r="AK34" s="841">
        <f>IF(AND('Year 1'!$B34=$AD$37),$AH$37,IF(AND('Year 1'!$B34=$AD$38),$AH$38,IF(AND('Year 1'!$B34=$AD$39),$AH$39,IF(AND('Year 1'!$B34=$AD$40),$AH$40,IF(AND('Year 1'!$B34=$AD$41),$AH$41,0)))))</f>
        <v>0</v>
      </c>
      <c r="AL34" s="841">
        <f>IF(AND('Year 1'!$B34=$AD$48),$AH$48,IF(AND('Year 1'!$B34=$AD$49),$AH$49,IF(AND('Year 1'!$B34=$AD$50),$AH$50,IF(AND('Year 1'!$B34=$AD$51),$AH$51,IF(AND('Year 1'!$B34=$AD$52),$AH$52,0)))))</f>
        <v>0</v>
      </c>
      <c r="AM34" s="841">
        <f>IF(AND('Year 1'!$B34=$AD$60),$AH$60,IF(AND('Year 1'!$B34=$AD$61),$AH$61,IF(AND('Year 1'!$B34=$AD$62),$AH$62,IF(AND('Year 1'!$B34=$AD$63),$AH$63,IF(AND('Year 1'!$B34=$AD$64),$AH$64,0)))))</f>
        <v>0</v>
      </c>
      <c r="AN34" s="831"/>
      <c r="AO34" s="831"/>
      <c r="AP34" s="831"/>
      <c r="AQ34" s="828"/>
      <c r="BE34" s="95"/>
    </row>
    <row r="35" spans="2:57" ht="13.5" customHeight="1">
      <c r="B35" s="605">
        <f>IF(AND(Subcontracts!$Z$50=1),AJ35,IF(AND(Subcontracts!$Z$50=2),AK35,IF(AND(Subcontracts!$Z$50=3),AL35,IF(AND(Subcontracts!$Z$50=4),AM35,0))))</f>
        <v>0</v>
      </c>
      <c r="C35" s="1020"/>
      <c r="D35" s="1021"/>
      <c r="E35" s="1041"/>
      <c r="F35" s="1063"/>
      <c r="G35" s="1063"/>
      <c r="H35" s="1063"/>
      <c r="I35" s="90">
        <f>IF(Subcontracts!$F$5&gt;=5,+'Year 4'!I35+('Year 4'!I35*('Year 4'!$D$2/100)),)</f>
        <v>0</v>
      </c>
      <c r="J35" s="91">
        <f>IF(Subcontracts!$F$5&gt;=5,(((I35/12)*F34)+((I35/9)*G34)+((I35/3)*H34)),)</f>
        <v>0</v>
      </c>
      <c r="K35" s="92">
        <f>(B35/100)*J35</f>
        <v>0</v>
      </c>
      <c r="L35" s="93">
        <f>J35+K35</f>
        <v>0</v>
      </c>
      <c r="M35" s="94"/>
      <c r="N35" s="94"/>
      <c r="O35" s="95"/>
      <c r="P35" s="95"/>
      <c r="Q35" s="95"/>
      <c r="AA35" s="831"/>
      <c r="AB35" s="832" t="str">
        <f>'Year 2'!AB35</f>
        <v>year 1 start between 1/1/17- 12/31/17</v>
      </c>
      <c r="AC35" s="831"/>
      <c r="AD35" s="840">
        <f>'Year 2'!AD35</f>
        <v>0</v>
      </c>
      <c r="AE35" s="840">
        <f>'Year 2'!AE35</f>
        <v>0</v>
      </c>
      <c r="AF35" s="840">
        <f>'Year 2'!AF35</f>
        <v>0</v>
      </c>
      <c r="AG35" s="840">
        <f>'Year 2'!AG35</f>
        <v>0</v>
      </c>
      <c r="AH35" s="840">
        <f>'Year 2'!AH35</f>
        <v>0</v>
      </c>
      <c r="AI35" s="840"/>
      <c r="AJ35" s="841">
        <f>IF(AND('Year 1'!$B35=$AD$25),$AH$25,IF(AND('Year 1'!$B35=$AD$26),$AH$26,IF(AND('Year 1'!$B35=$AD$27),$AH$27,IF(AND('Year 1'!$B35=$AD$28),$AH$28,IF(AND('Year 1'!$B35=$AD$29),$AH$29,0)))))</f>
        <v>0</v>
      </c>
      <c r="AK35" s="841">
        <f>IF(AND('Year 1'!$B35=$AD$37),$AH$37,IF(AND('Year 1'!$B35=$AD$38),$AH$38,IF(AND('Year 1'!$B35=$AD$39),$AH$39,IF(AND('Year 1'!$B35=$AD$40),$AH$40,IF(AND('Year 1'!$B35=$AD$41),$AH$41,0)))))</f>
        <v>0</v>
      </c>
      <c r="AL35" s="841">
        <f>IF(AND('Year 1'!$B35=$AD$48),$AH$48,IF(AND('Year 1'!$B35=$AD$49),$AH$49,IF(AND('Year 1'!$B35=$AD$50),$AH$50,IF(AND('Year 1'!$B35=$AD$51),$AH$51,IF(AND('Year 1'!$B35=$AD$52),$AH$52,0)))))</f>
        <v>0</v>
      </c>
      <c r="AM35" s="841">
        <f>IF(AND('Year 1'!$B35=$AD$60),$AH$60,IF(AND('Year 1'!$B35=$AD$61),$AH$61,IF(AND('Year 1'!$B35=$AD$62),$AH$62,IF(AND('Year 1'!$B35=$AD$63),$AH$63,IF(AND('Year 1'!$B35=$AD$64),$AH$64,0)))))</f>
        <v>0</v>
      </c>
      <c r="AN35" s="840"/>
      <c r="AO35" s="840"/>
      <c r="AP35" s="831"/>
      <c r="AQ35" s="828"/>
      <c r="BE35" s="95"/>
    </row>
    <row r="36" spans="2:57" ht="13.5" customHeight="1">
      <c r="B36" s="606"/>
      <c r="C36" s="1018">
        <f>IF(Subcontracts!$F$5=0,"",IF(Subcontracts!$F$5&gt;=5,+'Year 4'!C36:D37,""))</f>
        <v>0</v>
      </c>
      <c r="D36" s="1019"/>
      <c r="E36" s="1040">
        <f>IF(Subcontracts!$F$5=0,"",IF(Subcontracts!$F$5&gt;=5,+'Year 4'!E36:E37,""))</f>
        <v>0</v>
      </c>
      <c r="F36" s="1062">
        <f>IF(Subcontracts!$F$5=0,"",IF(Subcontracts!$F$5&gt;=5,+'Year 4'!F36:F37,""))</f>
        <v>0</v>
      </c>
      <c r="G36" s="1062">
        <f>IF(Subcontracts!$F$5=0,"",IF(Subcontracts!$F$5&gt;=5,+'Year 4'!G36:G37,""))</f>
        <v>0</v>
      </c>
      <c r="H36" s="1064">
        <f>IF(Subcontracts!$F$5=0,"",IF(Subcontracts!$F$5&gt;=5,+'Year 4'!H36:H37,""))</f>
        <v>0</v>
      </c>
      <c r="I36" s="97"/>
      <c r="J36" s="87"/>
      <c r="K36" s="87"/>
      <c r="L36" s="88"/>
      <c r="M36" s="94"/>
      <c r="N36" s="94"/>
      <c r="O36" s="95"/>
      <c r="P36" s="95"/>
      <c r="Q36" s="95"/>
      <c r="AA36" s="831"/>
      <c r="AB36" s="832">
        <f>'Year 2'!AB36</f>
        <v>0</v>
      </c>
      <c r="AC36" s="831"/>
      <c r="AD36" s="840" t="str">
        <f>'Year 2'!AD36</f>
        <v>year 1</v>
      </c>
      <c r="AE36" s="840" t="str">
        <f>'Year 2'!AE36</f>
        <v>year 2</v>
      </c>
      <c r="AF36" s="840" t="str">
        <f>'Year 2'!AF36</f>
        <v>year 3</v>
      </c>
      <c r="AG36" s="840" t="str">
        <f>'Year 2'!AG36</f>
        <v>year 4</v>
      </c>
      <c r="AH36" s="840" t="str">
        <f>'Year 2'!AH36</f>
        <v>year 5</v>
      </c>
      <c r="AI36" s="831"/>
      <c r="AJ36" s="841">
        <f>IF(AND('Year 1'!$B36=$AD$25),$AH$25,IF(AND('Year 1'!$B36=$AD$26),$AH$26,IF(AND('Year 1'!$B36=$AD$27),$AH$27,IF(AND('Year 1'!$B36=$AD$28),$AH$28,IF(AND('Year 1'!$B36=$AD$29),$AH$29,0)))))</f>
        <v>0</v>
      </c>
      <c r="AK36" s="841">
        <f>IF(AND('Year 1'!$B36=$AD$37),$AH$37,IF(AND('Year 1'!$B36=$AD$38),$AH$38,IF(AND('Year 1'!$B36=$AD$39),$AH$39,IF(AND('Year 1'!$B36=$AD$40),$AH$40,IF(AND('Year 1'!$B36=$AD$41),$AH$41,0)))))</f>
        <v>0</v>
      </c>
      <c r="AL36" s="841">
        <f>IF(AND('Year 1'!$B36=$AD$48),$AH$48,IF(AND('Year 1'!$B36=$AD$49),$AH$49,IF(AND('Year 1'!$B36=$AD$50),$AH$50,IF(AND('Year 1'!$B36=$AD$51),$AH$51,IF(AND('Year 1'!$B36=$AD$52),$AH$52,0)))))</f>
        <v>0</v>
      </c>
      <c r="AM36" s="841">
        <f>IF(AND('Year 1'!$B36=$AD$60),$AH$60,IF(AND('Year 1'!$B36=$AD$61),$AH$61,IF(AND('Year 1'!$B36=$AD$62),$AH$62,IF(AND('Year 1'!$B36=$AD$63),$AH$63,IF(AND('Year 1'!$B36=$AD$64),$AH$64,0)))))</f>
        <v>0</v>
      </c>
      <c r="AN36" s="831"/>
      <c r="AO36" s="831"/>
      <c r="AP36" s="831"/>
      <c r="AQ36" s="828"/>
      <c r="BE36" s="95"/>
    </row>
    <row r="37" spans="2:57" ht="13.5" customHeight="1">
      <c r="B37" s="605">
        <f>IF(AND(Subcontracts!$Z$50=1),AJ37,IF(AND(Subcontracts!$Z$50=2),AK37,IF(AND(Subcontracts!$Z$50=3),AL37,IF(AND(Subcontracts!$Z$50=4),AM37,0))))</f>
        <v>0</v>
      </c>
      <c r="C37" s="1020"/>
      <c r="D37" s="1021"/>
      <c r="E37" s="1041"/>
      <c r="F37" s="1063"/>
      <c r="G37" s="1063"/>
      <c r="H37" s="1063"/>
      <c r="I37" s="90">
        <f>IF(Subcontracts!$F$5&gt;=5,+'Year 4'!I37+('Year 4'!I37*('Year 4'!$D$2/100)),)</f>
        <v>0</v>
      </c>
      <c r="J37" s="91">
        <f>IF(Subcontracts!$F$5&gt;=5,(((I37/12)*F36)+((I37/9)*G36)+((I37/3)*H36)),)</f>
        <v>0</v>
      </c>
      <c r="K37" s="92">
        <f>(B37/100)*J37</f>
        <v>0</v>
      </c>
      <c r="L37" s="93">
        <f>J37+K37</f>
        <v>0</v>
      </c>
      <c r="M37" s="94"/>
      <c r="N37" s="94"/>
      <c r="O37" s="95"/>
      <c r="P37" s="95"/>
      <c r="Q37" s="95"/>
      <c r="AA37" s="831"/>
      <c r="AB37" s="832" t="str">
        <f>'Year 2'!AB37</f>
        <v>RF</v>
      </c>
      <c r="AC37" s="831"/>
      <c r="AD37" s="840">
        <f>'Year 2'!AD37</f>
        <v>46.5</v>
      </c>
      <c r="AE37" s="840">
        <f>'Year 2'!AE37</f>
        <v>47.5</v>
      </c>
      <c r="AF37" s="840">
        <f>'Year 2'!AF37</f>
        <v>49</v>
      </c>
      <c r="AG37" s="840">
        <f>'Year 2'!AG37</f>
        <v>49</v>
      </c>
      <c r="AH37" s="840">
        <f>'Year 2'!AH37</f>
        <v>49</v>
      </c>
      <c r="AI37" s="840"/>
      <c r="AJ37" s="841">
        <f>IF(AND('Year 1'!$B37=$AD$25),$AH$25,IF(AND('Year 1'!$B37=$AD$26),$AH$26,IF(AND('Year 1'!$B37=$AD$27),$AH$27,IF(AND('Year 1'!$B37=$AD$28),$AH$28,IF(AND('Year 1'!$B37=$AD$29),$AH$29,0)))))</f>
        <v>0</v>
      </c>
      <c r="AK37" s="841">
        <f>IF(AND('Year 1'!$B37=$AD$37),$AH$37,IF(AND('Year 1'!$B37=$AD$38),$AH$38,IF(AND('Year 1'!$B37=$AD$39),$AH$39,IF(AND('Year 1'!$B37=$AD$40),$AH$40,IF(AND('Year 1'!$B37=$AD$41),$AH$41,0)))))</f>
        <v>0</v>
      </c>
      <c r="AL37" s="841">
        <f>IF(AND('Year 1'!$B37=$AD$48),$AH$48,IF(AND('Year 1'!$B37=$AD$49),$AH$49,IF(AND('Year 1'!$B37=$AD$50),$AH$50,IF(AND('Year 1'!$B37=$AD$51),$AH$51,IF(AND('Year 1'!$B37=$AD$52),$AH$52,0)))))</f>
        <v>0</v>
      </c>
      <c r="AM37" s="841">
        <f>IF(AND('Year 1'!$B37=$AD$60),$AH$60,IF(AND('Year 1'!$B37=$AD$61),$AH$61,IF(AND('Year 1'!$B37=$AD$62),$AH$62,IF(AND('Year 1'!$B37=$AD$63),$AH$63,IF(AND('Year 1'!$B37=$AD$64),$AH$64,0)))))</f>
        <v>0</v>
      </c>
      <c r="AN37" s="840"/>
      <c r="AO37" s="840"/>
      <c r="AP37" s="831"/>
      <c r="AQ37" s="828"/>
      <c r="BE37" s="95"/>
    </row>
    <row r="38" spans="2:57" ht="13.5" customHeight="1">
      <c r="B38" s="606"/>
      <c r="C38" s="1055">
        <f>IF(Subcontracts!$F$5=0,"",IF(Subcontracts!$F$5&gt;=5,+'Year 4'!C38:D39,""))</f>
        <v>0</v>
      </c>
      <c r="D38" s="1019"/>
      <c r="E38" s="1032">
        <f>IF(Subcontracts!$F$5=0,"",IF(Subcontracts!$F$5&gt;=5,+'Year 4'!E38:E39,""))</f>
        <v>0</v>
      </c>
      <c r="F38" s="1062">
        <f>IF(Subcontracts!$F$5=0,"",IF(Subcontracts!$F$5&gt;=5,+'Year 4'!F38:F39,""))</f>
        <v>0</v>
      </c>
      <c r="G38" s="1062">
        <f>IF(Subcontracts!$F$5=0,"",IF(Subcontracts!$F$5&gt;=5,+'Year 4'!G38:G39,""))</f>
        <v>0</v>
      </c>
      <c r="H38" s="1064">
        <f>IF(Subcontracts!$F$5=0,"",IF(Subcontracts!$F$5&gt;=5,+'Year 4'!H38:H39,""))</f>
        <v>0</v>
      </c>
      <c r="I38" s="97"/>
      <c r="J38" s="87"/>
      <c r="K38" s="87"/>
      <c r="L38" s="88"/>
      <c r="M38" s="101"/>
      <c r="N38" s="101"/>
      <c r="O38" s="102"/>
      <c r="P38" s="102"/>
      <c r="Q38" s="102"/>
      <c r="R38" s="50"/>
      <c r="S38" s="50"/>
      <c r="T38" s="50"/>
      <c r="U38" s="50"/>
      <c r="V38" s="50"/>
      <c r="W38" s="50"/>
      <c r="X38" s="50"/>
      <c r="Y38" s="50"/>
      <c r="AA38" s="831"/>
      <c r="AB38" s="832" t="str">
        <f>'Year 2'!AB38</f>
        <v>IFR Summer</v>
      </c>
      <c r="AC38" s="831"/>
      <c r="AD38" s="840">
        <f>'Year 2'!AD38</f>
        <v>14</v>
      </c>
      <c r="AE38" s="840">
        <f>'Year 2'!AE38</f>
        <v>15</v>
      </c>
      <c r="AF38" s="840">
        <f>'Year 2'!AF38</f>
        <v>15</v>
      </c>
      <c r="AG38" s="840">
        <f>'Year 2'!AG38</f>
        <v>15</v>
      </c>
      <c r="AH38" s="840">
        <f>'Year 2'!AH38</f>
        <v>15</v>
      </c>
      <c r="AI38" s="831"/>
      <c r="AJ38" s="841">
        <f>IF(AND('Year 1'!$B38=$AD$25),$AH$25,IF(AND('Year 1'!$B38=$AD$26),$AH$26,IF(AND('Year 1'!$B38=$AD$27),$AH$27,IF(AND('Year 1'!$B38=$AD$28),$AH$28,IF(AND('Year 1'!$B38=$AD$29),$AH$29,0)))))</f>
        <v>0</v>
      </c>
      <c r="AK38" s="841">
        <f>IF(AND('Year 1'!$B38=$AD$37),$AH$37,IF(AND('Year 1'!$B38=$AD$38),$AH$38,IF(AND('Year 1'!$B38=$AD$39),$AH$39,IF(AND('Year 1'!$B38=$AD$40),$AH$40,IF(AND('Year 1'!$B38=$AD$41),$AH$41,0)))))</f>
        <v>0</v>
      </c>
      <c r="AL38" s="841">
        <f>IF(AND('Year 1'!$B38=$AD$48),$AH$48,IF(AND('Year 1'!$B38=$AD$49),$AH$49,IF(AND('Year 1'!$B38=$AD$50),$AH$50,IF(AND('Year 1'!$B38=$AD$51),$AH$51,IF(AND('Year 1'!$B38=$AD$52),$AH$52,0)))))</f>
        <v>0</v>
      </c>
      <c r="AM38" s="841">
        <f>IF(AND('Year 1'!$B38=$AD$60),$AH$60,IF(AND('Year 1'!$B38=$AD$61),$AH$61,IF(AND('Year 1'!$B38=$AD$62),$AH$62,IF(AND('Year 1'!$B38=$AD$63),$AH$63,IF(AND('Year 1'!$B38=$AD$64),$AH$64,0)))))</f>
        <v>0</v>
      </c>
      <c r="AN38" s="831"/>
      <c r="AO38" s="831"/>
      <c r="AP38" s="831"/>
      <c r="AQ38" s="828"/>
      <c r="BE38" s="95"/>
    </row>
    <row r="39" spans="2:57" ht="13.5" customHeight="1">
      <c r="B39" s="605">
        <f>IF(AND(Subcontracts!$Z$50=1),AJ39,IF(AND(Subcontracts!$Z$50=2),AK39,IF(AND(Subcontracts!$Z$50=3),AL39,IF(AND(Subcontracts!$Z$50=4),AM39,0))))</f>
        <v>0</v>
      </c>
      <c r="C39" s="1020"/>
      <c r="D39" s="1021"/>
      <c r="E39" s="1033"/>
      <c r="F39" s="1063"/>
      <c r="G39" s="1063"/>
      <c r="H39" s="1063"/>
      <c r="I39" s="90">
        <f>IF(Subcontracts!$F$5&gt;=5,+'Year 4'!I39+('Year 4'!I39*('Year 4'!$D$2/100)),)</f>
        <v>0</v>
      </c>
      <c r="J39" s="91">
        <f>IF(Subcontracts!$F$5&gt;=5,(((I39/12)*F38)+((I39/9)*G38)+((I39/3)*H38)),)</f>
        <v>0</v>
      </c>
      <c r="K39" s="92">
        <f>(B39/100)*J39</f>
        <v>0</v>
      </c>
      <c r="L39" s="93">
        <f>J39+K39</f>
        <v>0</v>
      </c>
      <c r="M39" s="94"/>
      <c r="N39" s="94"/>
      <c r="O39" s="95"/>
      <c r="P39" s="95"/>
      <c r="Q39" s="95"/>
      <c r="AA39" s="831"/>
      <c r="AB39" s="832" t="str">
        <f>'Year 2'!AB39</f>
        <v>Graduate</v>
      </c>
      <c r="AC39" s="831"/>
      <c r="AD39" s="840">
        <f>'Year 2'!AD39</f>
        <v>15</v>
      </c>
      <c r="AE39" s="840">
        <f>'Year 2'!AE39</f>
        <v>16</v>
      </c>
      <c r="AF39" s="840">
        <f>'Year 2'!AF39</f>
        <v>17</v>
      </c>
      <c r="AG39" s="840">
        <f>'Year 2'!AG39</f>
        <v>17</v>
      </c>
      <c r="AH39" s="840">
        <f>'Year 2'!AH39</f>
        <v>17</v>
      </c>
      <c r="AI39" s="840"/>
      <c r="AJ39" s="841">
        <f>IF(AND('Year 1'!$B39=$AD$25),$AH$25,IF(AND('Year 1'!$B39=$AD$26),$AH$26,IF(AND('Year 1'!$B39=$AD$27),$AH$27,IF(AND('Year 1'!$B39=$AD$28),$AH$28,IF(AND('Year 1'!$B39=$AD$29),$AH$29,0)))))</f>
        <v>0</v>
      </c>
      <c r="AK39" s="841">
        <f>IF(AND('Year 1'!$B39=$AD$37),$AH$37,IF(AND('Year 1'!$B39=$AD$38),$AH$38,IF(AND('Year 1'!$B39=$AD$39),$AH$39,IF(AND('Year 1'!$B39=$AD$40),$AH$40,IF(AND('Year 1'!$B39=$AD$41),$AH$41,0)))))</f>
        <v>0</v>
      </c>
      <c r="AL39" s="841">
        <f>IF(AND('Year 1'!$B39=$AD$48),$AH$48,IF(AND('Year 1'!$B39=$AD$49),$AH$49,IF(AND('Year 1'!$B39=$AD$50),$AH$50,IF(AND('Year 1'!$B39=$AD$51),$AH$51,IF(AND('Year 1'!$B39=$AD$52),$AH$52,0)))))</f>
        <v>0</v>
      </c>
      <c r="AM39" s="841">
        <f>IF(AND('Year 1'!$B39=$AD$60),$AH$60,IF(AND('Year 1'!$B39=$AD$61),$AH$61,IF(AND('Year 1'!$B39=$AD$62),$AH$62,IF(AND('Year 1'!$B39=$AD$63),$AH$63,IF(AND('Year 1'!$B39=$AD$64),$AH$64,0)))))</f>
        <v>0</v>
      </c>
      <c r="AN39" s="840"/>
      <c r="AO39" s="840"/>
      <c r="AP39" s="831"/>
      <c r="AQ39" s="828"/>
      <c r="BE39" s="95"/>
    </row>
    <row r="40" spans="2:57" ht="13.5" customHeight="1">
      <c r="B40" s="606"/>
      <c r="C40" s="1018">
        <f>IF(Subcontracts!$F$5=0,"",IF(Subcontracts!$F$5&gt;=5,+'Year 4'!C40:D41,""))</f>
        <v>0</v>
      </c>
      <c r="D40" s="1019"/>
      <c r="E40" s="1040">
        <f>IF(Subcontracts!$F$5=0,"",IF(Subcontracts!$F$5&gt;=5,+'Year 4'!E40:E41,""))</f>
        <v>0</v>
      </c>
      <c r="F40" s="1062">
        <f>IF(Subcontracts!$F$5=0,"",IF(Subcontracts!$F$5&gt;=5,+'Year 4'!F40:F41,""))</f>
        <v>0</v>
      </c>
      <c r="G40" s="1062">
        <f>IF(Subcontracts!$F$5=0,"",IF(Subcontracts!$F$5&gt;=5,+'Year 4'!G40:G41,""))</f>
        <v>0</v>
      </c>
      <c r="H40" s="1064">
        <f>IF(Subcontracts!$F$5=0,"",IF(Subcontracts!$F$5&gt;=5,+'Year 4'!H40:H41,""))</f>
        <v>0</v>
      </c>
      <c r="I40" s="97"/>
      <c r="J40" s="87"/>
      <c r="K40" s="87"/>
      <c r="L40" s="88"/>
      <c r="M40" s="101"/>
      <c r="N40" s="101"/>
      <c r="O40" s="102"/>
      <c r="P40" s="102"/>
      <c r="Q40" s="95"/>
      <c r="AA40" s="831"/>
      <c r="AB40" s="832" t="str">
        <f>'Year 2'!AB40</f>
        <v>Undergrad</v>
      </c>
      <c r="AC40" s="831"/>
      <c r="AD40" s="840">
        <f>'Year 2'!AD40</f>
        <v>5</v>
      </c>
      <c r="AE40" s="840">
        <f>'Year 2'!AE40</f>
        <v>5</v>
      </c>
      <c r="AF40" s="840">
        <f>'Year 2'!AF40</f>
        <v>5</v>
      </c>
      <c r="AG40" s="840">
        <f>'Year 2'!AG40</f>
        <v>5</v>
      </c>
      <c r="AH40" s="840">
        <f>'Year 2'!AH40</f>
        <v>5</v>
      </c>
      <c r="AI40" s="831"/>
      <c r="AJ40" s="841">
        <f>IF(AND('Year 1'!$B40=$AD$25),$AH$25,IF(AND('Year 1'!$B40=$AD$26),$AH$26,IF(AND('Year 1'!$B40=$AD$27),$AH$27,IF(AND('Year 1'!$B40=$AD$28),$AH$28,IF(AND('Year 1'!$B40=$AD$29),$AH$29,0)))))</f>
        <v>0</v>
      </c>
      <c r="AK40" s="841">
        <f>IF(AND('Year 1'!$B40=$AD$37),$AH$37,IF(AND('Year 1'!$B40=$AD$38),$AH$38,IF(AND('Year 1'!$B40=$AD$39),$AH$39,IF(AND('Year 1'!$B40=$AD$40),$AH$40,IF(AND('Year 1'!$B40=$AD$41),$AH$41,0)))))</f>
        <v>0</v>
      </c>
      <c r="AL40" s="841">
        <f>IF(AND('Year 1'!$B40=$AD$48),$AH$48,IF(AND('Year 1'!$B40=$AD$49),$AH$49,IF(AND('Year 1'!$B40=$AD$50),$AH$50,IF(AND('Year 1'!$B40=$AD$51),$AH$51,IF(AND('Year 1'!$B40=$AD$52),$AH$52,0)))))</f>
        <v>0</v>
      </c>
      <c r="AM40" s="841">
        <f>IF(AND('Year 1'!$B40=$AD$60),$AH$60,IF(AND('Year 1'!$B40=$AD$61),$AH$61,IF(AND('Year 1'!$B40=$AD$62),$AH$62,IF(AND('Year 1'!$B40=$AD$63),$AH$63,IF(AND('Year 1'!$B40=$AD$64),$AH$64,0)))))</f>
        <v>0</v>
      </c>
      <c r="AN40" s="831"/>
      <c r="AO40" s="831"/>
      <c r="AP40" s="831"/>
      <c r="AQ40" s="828"/>
      <c r="BE40" s="95"/>
    </row>
    <row r="41" spans="2:57" ht="13.5" customHeight="1">
      <c r="B41" s="605">
        <f>IF(AND(Subcontracts!$Z$50=1),AJ41,IF(AND(Subcontracts!$Z$50=2),AK41,IF(AND(Subcontracts!$Z$50=3),AL41,IF(AND(Subcontracts!$Z$50=4),AM41,0))))</f>
        <v>0</v>
      </c>
      <c r="C41" s="1020"/>
      <c r="D41" s="1021"/>
      <c r="E41" s="1041"/>
      <c r="F41" s="1063"/>
      <c r="G41" s="1063"/>
      <c r="H41" s="1063"/>
      <c r="I41" s="90">
        <f>IF(Subcontracts!$F$5&gt;=5,+'Year 4'!I41+('Year 4'!I41*('Year 4'!$D$2/100)),)</f>
        <v>0</v>
      </c>
      <c r="J41" s="91">
        <f>IF(Subcontracts!$F$5&gt;=5,(((I41/12)*F40)+((I41/9)*G40)+((I41/3)*H40)),)</f>
        <v>0</v>
      </c>
      <c r="K41" s="92">
        <f>(B41/100)*J41</f>
        <v>0</v>
      </c>
      <c r="L41" s="93">
        <f>J41+K41</f>
        <v>0</v>
      </c>
      <c r="M41" s="94"/>
      <c r="N41" s="94"/>
      <c r="O41" s="95"/>
      <c r="P41" s="95"/>
      <c r="Q41" s="95"/>
      <c r="AA41" s="831"/>
      <c r="AB41" s="832" t="str">
        <f>'Year 2'!AB41</f>
        <v>IFR</v>
      </c>
      <c r="AC41" s="831"/>
      <c r="AD41" s="840">
        <f>'Year 2'!AD41</f>
        <v>57.75</v>
      </c>
      <c r="AE41" s="840">
        <f>'Year 2'!AE41</f>
        <v>59.38</v>
      </c>
      <c r="AF41" s="840">
        <f>'Year 2'!AF41</f>
        <v>61.645</v>
      </c>
      <c r="AG41" s="840">
        <f>'Year 2'!AG41</f>
        <v>64.05</v>
      </c>
      <c r="AH41" s="840">
        <f>'Year 2'!AH41</f>
        <v>64.05</v>
      </c>
      <c r="AI41" s="840"/>
      <c r="AJ41" s="841">
        <f>IF(AND('Year 1'!$B41=$AD$25),$AH$25,IF(AND('Year 1'!$B41=$AD$26),$AH$26,IF(AND('Year 1'!$B41=$AD$27),$AH$27,IF(AND('Year 1'!$B41=$AD$28),$AH$28,IF(AND('Year 1'!$B41=$AD$29),$AH$29,0)))))</f>
        <v>0</v>
      </c>
      <c r="AK41" s="841">
        <f>IF(AND('Year 1'!$B41=$AD$37),$AH$37,IF(AND('Year 1'!$B41=$AD$38),$AH$38,IF(AND('Year 1'!$B41=$AD$39),$AH$39,IF(AND('Year 1'!$B41=$AD$40),$AH$40,IF(AND('Year 1'!$B41=$AD$41),$AH$41,0)))))</f>
        <v>0</v>
      </c>
      <c r="AL41" s="841">
        <f>IF(AND('Year 1'!$B41=$AD$48),$AH$48,IF(AND('Year 1'!$B41=$AD$49),$AH$49,IF(AND('Year 1'!$B41=$AD$50),$AH$50,IF(AND('Year 1'!$B41=$AD$51),$AH$51,IF(AND('Year 1'!$B41=$AD$52),$AH$52,0)))))</f>
        <v>0</v>
      </c>
      <c r="AM41" s="841">
        <f>IF(AND('Year 1'!$B41=$AD$60),$AH$60,IF(AND('Year 1'!$B41=$AD$61),$AH$61,IF(AND('Year 1'!$B41=$AD$62),$AH$62,IF(AND('Year 1'!$B41=$AD$63),$AH$63,IF(AND('Year 1'!$B41=$AD$64),$AH$64,0)))))</f>
        <v>0</v>
      </c>
      <c r="AN41" s="840"/>
      <c r="AO41" s="840"/>
      <c r="AP41" s="831"/>
      <c r="AQ41" s="828"/>
      <c r="BE41" s="95"/>
    </row>
    <row r="42" spans="2:43" ht="13.5" customHeight="1">
      <c r="B42" s="606"/>
      <c r="C42" s="1018">
        <f>IF(Subcontracts!$F$5=0,"",IF(Subcontracts!$F$5&gt;=5,+'Year 4'!C42:D43,""))</f>
        <v>0</v>
      </c>
      <c r="D42" s="1019"/>
      <c r="E42" s="1040">
        <f>IF(Subcontracts!$F$5=0,"",IF(Subcontracts!$F$5&gt;=5,+'Year 4'!E42:E43,""))</f>
        <v>0</v>
      </c>
      <c r="F42" s="1062">
        <f>IF(Subcontracts!$F$5=0,"",IF(Subcontracts!$F$5&gt;=5,+'Year 4'!F42:F43,""))</f>
        <v>0</v>
      </c>
      <c r="G42" s="1062">
        <f>IF(Subcontracts!$F$5=0,"",IF(Subcontracts!$F$5&gt;=5,+'Year 4'!G42:G43,""))</f>
        <v>0</v>
      </c>
      <c r="H42" s="1064">
        <f>IF(Subcontracts!$F$5=0,"",IF(Subcontracts!$F$5&gt;=5,+'Year 4'!H42:H43,""))</f>
        <v>0</v>
      </c>
      <c r="I42" s="97"/>
      <c r="J42" s="87"/>
      <c r="K42" s="87"/>
      <c r="L42" s="88"/>
      <c r="M42" s="101"/>
      <c r="N42" s="101"/>
      <c r="O42" s="102"/>
      <c r="P42" s="95"/>
      <c r="Q42" s="95"/>
      <c r="AA42" s="831"/>
      <c r="AB42" s="832" t="str">
        <f>'Year 2'!AB42</f>
        <v>F&amp;A</v>
      </c>
      <c r="AC42" s="831"/>
      <c r="AD42" s="840">
        <f>'Year 2'!AD42</f>
        <v>59.5</v>
      </c>
      <c r="AE42" s="840">
        <f>'Year 2'!AE42</f>
        <v>59.5</v>
      </c>
      <c r="AF42" s="840">
        <f>'Year 2'!AF42</f>
        <v>59.5</v>
      </c>
      <c r="AG42" s="840">
        <f>'Year 2'!AG42</f>
        <v>59.5</v>
      </c>
      <c r="AH42" s="840">
        <f>'Year 2'!AH42</f>
        <v>59.5</v>
      </c>
      <c r="AI42" s="831"/>
      <c r="AJ42" s="841">
        <f>IF(AND('Year 1'!$B42=$AD$25),$AH$25,IF(AND('Year 1'!$B42=$AD$26),$AH$26,IF(AND('Year 1'!$B42=$AD$27),$AH$27,IF(AND('Year 1'!$B42=$AD$28),$AH$28,IF(AND('Year 1'!$B42=$AD$29),$AH$29,0)))))</f>
        <v>0</v>
      </c>
      <c r="AK42" s="841">
        <f>IF(AND('Year 1'!$B42=$AD$37),$AH$37,IF(AND('Year 1'!$B42=$AD$38),$AH$38,IF(AND('Year 1'!$B42=$AD$39),$AH$39,IF(AND('Year 1'!$B42=$AD$40),$AH$40,IF(AND('Year 1'!$B42=$AD$41),$AH$41,0)))))</f>
        <v>0</v>
      </c>
      <c r="AL42" s="841">
        <f>IF(AND('Year 1'!$B42=$AD$48),$AH$48,IF(AND('Year 1'!$B42=$AD$49),$AH$49,IF(AND('Year 1'!$B42=$AD$50),$AH$50,IF(AND('Year 1'!$B42=$AD$51),$AH$51,IF(AND('Year 1'!$B42=$AD$52),$AH$52,0)))))</f>
        <v>0</v>
      </c>
      <c r="AM42" s="841">
        <f>IF(AND('Year 1'!$B42=$AD$60),$AH$60,IF(AND('Year 1'!$B42=$AD$61),$AH$61,IF(AND('Year 1'!$B42=$AD$62),$AH$62,IF(AND('Year 1'!$B42=$AD$63),$AH$63,IF(AND('Year 1'!$B42=$AD$64),$AH$64,0)))))</f>
        <v>0</v>
      </c>
      <c r="AN42" s="831"/>
      <c r="AO42" s="831"/>
      <c r="AP42" s="831"/>
      <c r="AQ42" s="828"/>
    </row>
    <row r="43" spans="2:43" ht="13.5" customHeight="1">
      <c r="B43" s="605">
        <f>IF(AND(Subcontracts!$Z$50=1),AJ43,IF(AND(Subcontracts!$Z$50=2),AK43,IF(AND(Subcontracts!$Z$50=3),AL43,IF(AND(Subcontracts!$Z$50=4),AM43,0))))</f>
        <v>0</v>
      </c>
      <c r="C43" s="1020"/>
      <c r="D43" s="1021"/>
      <c r="E43" s="1045"/>
      <c r="F43" s="1063"/>
      <c r="G43" s="1063"/>
      <c r="H43" s="1063"/>
      <c r="I43" s="99">
        <f>IF(Subcontracts!$F$5&gt;=5,+'Year 4'!I43+('Year 4'!I43*('Year 4'!$D$2/100)),)</f>
        <v>0</v>
      </c>
      <c r="J43" s="91">
        <f>IF(Subcontracts!$F$5&gt;=5,(((I43/12)*F42)+((I43/9)*G42)+((I43/3)*H42)),)</f>
        <v>0</v>
      </c>
      <c r="K43" s="92">
        <f>(B43/100)*J43</f>
        <v>0</v>
      </c>
      <c r="L43" s="93">
        <f>J43+K43</f>
        <v>0</v>
      </c>
      <c r="N43" s="94"/>
      <c r="O43" s="95"/>
      <c r="P43" s="95"/>
      <c r="Q43" s="95"/>
      <c r="AA43" s="831"/>
      <c r="AB43" s="832">
        <f>'Year 2'!AB43</f>
        <v>0</v>
      </c>
      <c r="AC43" s="831"/>
      <c r="AD43" s="840">
        <f>'Year 2'!AD43</f>
        <v>0</v>
      </c>
      <c r="AE43" s="840">
        <f>'Year 2'!AE43</f>
        <v>0</v>
      </c>
      <c r="AF43" s="840">
        <f>'Year 2'!AF43</f>
        <v>0</v>
      </c>
      <c r="AG43" s="840">
        <f>'Year 2'!AG43</f>
        <v>0</v>
      </c>
      <c r="AH43" s="840">
        <f>'Year 2'!AH43</f>
        <v>0</v>
      </c>
      <c r="AI43" s="840"/>
      <c r="AJ43" s="841">
        <f>IF(AND('Year 1'!$B43=$AD$25),$AH$25,IF(AND('Year 1'!$B43=$AD$26),$AH$26,IF(AND('Year 1'!$B43=$AD$27),$AH$27,IF(AND('Year 1'!$B43=$AD$28),$AH$28,IF(AND('Year 1'!$B43=$AD$29),$AH$29,0)))))</f>
        <v>0</v>
      </c>
      <c r="AK43" s="841">
        <f>IF(AND('Year 1'!$B43=$AD$37),$AH$37,IF(AND('Year 1'!$B43=$AD$38),$AH$38,IF(AND('Year 1'!$B43=$AD$39),$AH$39,IF(AND('Year 1'!$B43=$AD$40),$AH$40,IF(AND('Year 1'!$B43=$AD$41),$AH$41,0)))))</f>
        <v>0</v>
      </c>
      <c r="AL43" s="841">
        <f>IF(AND('Year 1'!$B43=$AD$48),$AH$48,IF(AND('Year 1'!$B43=$AD$49),$AH$49,IF(AND('Year 1'!$B43=$AD$50),$AH$50,IF(AND('Year 1'!$B43=$AD$51),$AH$51,IF(AND('Year 1'!$B43=$AD$52),$AH$52,0)))))</f>
        <v>0</v>
      </c>
      <c r="AM43" s="841">
        <f>IF(AND('Year 1'!$B43=$AD$60),$AH$60,IF(AND('Year 1'!$B43=$AD$61),$AH$61,IF(AND('Year 1'!$B43=$AD$62),$AH$62,IF(AND('Year 1'!$B43=$AD$63),$AH$63,IF(AND('Year 1'!$B43=$AD$64),$AH$64,0)))))</f>
        <v>0</v>
      </c>
      <c r="AN43" s="840"/>
      <c r="AO43" s="840"/>
      <c r="AP43" s="831"/>
      <c r="AQ43" s="828"/>
    </row>
    <row r="44" spans="2:43" ht="13.5" customHeight="1">
      <c r="B44" s="606"/>
      <c r="C44" s="1018">
        <f>IF(Subcontracts!$F$5=0,"",IF(Subcontracts!$F$5&gt;=5,+'Year 4'!C44:D45,""))</f>
        <v>0</v>
      </c>
      <c r="D44" s="1019"/>
      <c r="E44" s="1044">
        <f>IF(Subcontracts!$F$5=0,"",IF(Subcontracts!$F$5&gt;=5,+'Year 4'!E44:E45,""))</f>
        <v>0</v>
      </c>
      <c r="F44" s="1062">
        <f>IF(Subcontracts!$F$5=0,"",IF(Subcontracts!$F$5&gt;=5,+'Year 4'!F44:F45,""))</f>
        <v>0</v>
      </c>
      <c r="G44" s="1062">
        <f>IF(Subcontracts!$F$5=0,"",IF(Subcontracts!$F$5&gt;=5,+'Year 4'!G44:G45,""))</f>
        <v>0</v>
      </c>
      <c r="H44" s="1064">
        <f>IF(Subcontracts!$F$5=0,"",IF(Subcontracts!$F$5&gt;=5,+'Year 4'!H44:H45,""))</f>
        <v>0</v>
      </c>
      <c r="I44" s="97"/>
      <c r="J44" s="87"/>
      <c r="K44" s="87"/>
      <c r="L44" s="88"/>
      <c r="M44" s="50"/>
      <c r="N44" s="101"/>
      <c r="O44" s="102"/>
      <c r="P44" s="102"/>
      <c r="Q44" s="102"/>
      <c r="R44" s="50"/>
      <c r="S44" s="50"/>
      <c r="T44" s="50"/>
      <c r="U44" s="50"/>
      <c r="V44" s="50"/>
      <c r="W44" s="50"/>
      <c r="X44" s="50"/>
      <c r="Y44" s="50"/>
      <c r="Z44" s="50"/>
      <c r="AA44" s="842"/>
      <c r="AB44" s="832">
        <f>'Year 2'!AB44</f>
        <v>0</v>
      </c>
      <c r="AC44" s="842"/>
      <c r="AD44" s="840">
        <f>'Year 2'!AD44</f>
        <v>0</v>
      </c>
      <c r="AE44" s="840">
        <f>'Year 2'!AE44</f>
        <v>0</v>
      </c>
      <c r="AF44" s="840">
        <f>'Year 2'!AF44</f>
        <v>0</v>
      </c>
      <c r="AG44" s="840">
        <f>'Year 2'!AG44</f>
        <v>0</v>
      </c>
      <c r="AH44" s="840">
        <f>'Year 2'!AH44</f>
        <v>0</v>
      </c>
      <c r="AI44" s="831"/>
      <c r="AJ44" s="841">
        <f>IF(AND('Year 1'!$B44=$AD$25),$AH$25,IF(AND('Year 1'!$B44=$AD$26),$AH$26,IF(AND('Year 1'!$B44=$AD$27),$AH$27,IF(AND('Year 1'!$B44=$AD$28),$AH$28,IF(AND('Year 1'!$B44=$AD$29),$AH$29,0)))))</f>
        <v>0</v>
      </c>
      <c r="AK44" s="841">
        <f>IF(AND('Year 1'!$B44=$AD$37),$AH$37,IF(AND('Year 1'!$B44=$AD$38),$AH$38,IF(AND('Year 1'!$B44=$AD$39),$AH$39,IF(AND('Year 1'!$B44=$AD$40),$AH$40,IF(AND('Year 1'!$B44=$AD$41),$AH$41,0)))))</f>
        <v>0</v>
      </c>
      <c r="AL44" s="841">
        <f>IF(AND('Year 1'!$B44=$AD$48),$AH$48,IF(AND('Year 1'!$B44=$AD$49),$AH$49,IF(AND('Year 1'!$B44=$AD$50),$AH$50,IF(AND('Year 1'!$B44=$AD$51),$AH$51,IF(AND('Year 1'!$B44=$AD$52),$AH$52,0)))))</f>
        <v>0</v>
      </c>
      <c r="AM44" s="841">
        <f>IF(AND('Year 1'!$B44=$AD$60),$AH$60,IF(AND('Year 1'!$B44=$AD$61),$AH$61,IF(AND('Year 1'!$B44=$AD$62),$AH$62,IF(AND('Year 1'!$B44=$AD$63),$AH$63,IF(AND('Year 1'!$B44=$AD$64),$AH$64,0)))))</f>
        <v>0</v>
      </c>
      <c r="AN44" s="831"/>
      <c r="AO44" s="831"/>
      <c r="AP44" s="831"/>
      <c r="AQ44" s="828"/>
    </row>
    <row r="45" spans="2:43" ht="13.5" customHeight="1">
      <c r="B45" s="605">
        <f>IF(AND(Subcontracts!$Z$50=1),AJ45,IF(AND(Subcontracts!$Z$50=2),AK45,IF(AND(Subcontracts!$Z$50=3),AL45,IF(AND(Subcontracts!$Z$50=4),AM45,0))))</f>
        <v>0</v>
      </c>
      <c r="C45" s="1020"/>
      <c r="D45" s="1021"/>
      <c r="E45" s="1045"/>
      <c r="F45" s="1063"/>
      <c r="G45" s="1063"/>
      <c r="H45" s="1063"/>
      <c r="I45" s="99">
        <f>IF(Subcontracts!$F$5&gt;=5,+'Year 4'!I45+('Year 4'!I45*('Year 4'!$D$2/100)),)</f>
        <v>0</v>
      </c>
      <c r="J45" s="91">
        <f>IF(Subcontracts!$F$5&gt;=5,(((I45/12)*F44)+((I45/9)*G44)+((I45/3)*H44)),)</f>
        <v>0</v>
      </c>
      <c r="K45" s="92">
        <f>(B45/100)*J45</f>
        <v>0</v>
      </c>
      <c r="L45" s="93">
        <f>J45+K45</f>
        <v>0</v>
      </c>
      <c r="N45" s="94"/>
      <c r="O45" s="95"/>
      <c r="P45" s="95"/>
      <c r="Q45" s="95"/>
      <c r="AA45" s="831"/>
      <c r="AB45" s="832" t="str">
        <f>'Year 2'!AB45</f>
        <v>number 3</v>
      </c>
      <c r="AC45" s="831"/>
      <c r="AD45" s="840">
        <f>'Year 2'!AD45</f>
        <v>0</v>
      </c>
      <c r="AE45" s="840">
        <f>'Year 2'!AE45</f>
        <v>0</v>
      </c>
      <c r="AF45" s="840">
        <f>'Year 2'!AF45</f>
        <v>0</v>
      </c>
      <c r="AG45" s="840">
        <f>'Year 2'!AG45</f>
        <v>0</v>
      </c>
      <c r="AH45" s="840">
        <f>'Year 2'!AH45</f>
        <v>0</v>
      </c>
      <c r="AI45" s="840"/>
      <c r="AJ45" s="841">
        <f>IF(AND('Year 1'!$B45=$AD$25),$AH$25,IF(AND('Year 1'!$B45=$AD$26),$AH$26,IF(AND('Year 1'!$B45=$AD$27),$AH$27,IF(AND('Year 1'!$B45=$AD$28),$AH$28,IF(AND('Year 1'!$B45=$AD$29),$AH$29,0)))))</f>
        <v>0</v>
      </c>
      <c r="AK45" s="841">
        <f>IF(AND('Year 1'!$B45=$AD$37),$AH$37,IF(AND('Year 1'!$B45=$AD$38),$AH$38,IF(AND('Year 1'!$B45=$AD$39),$AH$39,IF(AND('Year 1'!$B45=$AD$40),$AH$40,IF(AND('Year 1'!$B45=$AD$41),$AH$41,0)))))</f>
        <v>0</v>
      </c>
      <c r="AL45" s="841">
        <f>IF(AND('Year 1'!$B45=$AD$48),$AH$48,IF(AND('Year 1'!$B45=$AD$49),$AH$49,IF(AND('Year 1'!$B45=$AD$50),$AH$50,IF(AND('Year 1'!$B45=$AD$51),$AH$51,IF(AND('Year 1'!$B45=$AD$52),$AH$52,0)))))</f>
        <v>0</v>
      </c>
      <c r="AM45" s="841">
        <f>IF(AND('Year 1'!$B45=$AD$60),$AH$60,IF(AND('Year 1'!$B45=$AD$61),$AH$61,IF(AND('Year 1'!$B45=$AD$62),$AH$62,IF(AND('Year 1'!$B45=$AD$63),$AH$63,IF(AND('Year 1'!$B45=$AD$64),$AH$64,0)))))</f>
        <v>0</v>
      </c>
      <c r="AN45" s="840"/>
      <c r="AO45" s="840"/>
      <c r="AP45" s="831"/>
      <c r="AQ45" s="828"/>
    </row>
    <row r="46" spans="2:43" ht="13.5" customHeight="1">
      <c r="B46" s="606"/>
      <c r="C46" s="1018">
        <f>IF(Subcontracts!$F$5=0,"",IF(Subcontracts!$F$5&gt;=5,+'Year 4'!C46:D47,""))</f>
        <v>0</v>
      </c>
      <c r="D46" s="1019"/>
      <c r="E46" s="1044">
        <f>IF(Subcontracts!$F$5=0,"",IF(Subcontracts!$F$5&gt;=5,+'Year 4'!E46:E47,""))</f>
        <v>0</v>
      </c>
      <c r="F46" s="1062">
        <f>IF(Subcontracts!$F$5=0,"",IF(Subcontracts!$F$5&gt;=5,+'Year 4'!F46:F47,""))</f>
        <v>0</v>
      </c>
      <c r="G46" s="1062">
        <f>IF(Subcontracts!$F$5=0,"",IF(Subcontracts!$F$5&gt;=5,+'Year 4'!G46:G47,""))</f>
        <v>0</v>
      </c>
      <c r="H46" s="1064">
        <f>IF(Subcontracts!$F$5=0,"",IF(Subcontracts!$F$5&gt;=5,+'Year 4'!H46:H47,""))</f>
        <v>0</v>
      </c>
      <c r="I46" s="97"/>
      <c r="J46" s="87"/>
      <c r="K46" s="87"/>
      <c r="L46" s="88"/>
      <c r="N46" s="94"/>
      <c r="O46" s="95"/>
      <c r="P46" s="95"/>
      <c r="Q46" s="95"/>
      <c r="AA46" s="831"/>
      <c r="AB46" s="832" t="str">
        <f>'Year 2'!AB46</f>
        <v>year 1 start between 1/1/18 - 12/31/18</v>
      </c>
      <c r="AC46" s="831"/>
      <c r="AD46" s="840">
        <f>'Year 2'!AD46</f>
        <v>0</v>
      </c>
      <c r="AE46" s="840">
        <f>'Year 2'!AE46</f>
        <v>0</v>
      </c>
      <c r="AF46" s="840">
        <f>'Year 2'!AF46</f>
        <v>0</v>
      </c>
      <c r="AG46" s="840">
        <f>'Year 2'!AG46</f>
        <v>0</v>
      </c>
      <c r="AH46" s="840">
        <f>'Year 2'!AH46</f>
        <v>0</v>
      </c>
      <c r="AI46" s="831"/>
      <c r="AJ46" s="841">
        <f>IF(AND('Year 1'!$B46=$AD$25),$AH$25,IF(AND('Year 1'!$B46=$AD$26),$AH$26,IF(AND('Year 1'!$B46=$AD$27),$AH$27,IF(AND('Year 1'!$B46=$AD$28),$AH$28,IF(AND('Year 1'!$B46=$AD$29),$AH$29,0)))))</f>
        <v>0</v>
      </c>
      <c r="AK46" s="841">
        <f>IF(AND('Year 1'!$B46=$AD$37),$AH$37,IF(AND('Year 1'!$B46=$AD$38),$AH$38,IF(AND('Year 1'!$B46=$AD$39),$AH$39,IF(AND('Year 1'!$B46=$AD$40),$AH$40,IF(AND('Year 1'!$B46=$AD$41),$AH$41,0)))))</f>
        <v>0</v>
      </c>
      <c r="AL46" s="841">
        <f>IF(AND('Year 1'!$B46=$AD$48),$AH$48,IF(AND('Year 1'!$B46=$AD$49),$AH$49,IF(AND('Year 1'!$B46=$AD$50),$AH$50,IF(AND('Year 1'!$B46=$AD$51),$AH$51,IF(AND('Year 1'!$B46=$AD$52),$AH$52,0)))))</f>
        <v>0</v>
      </c>
      <c r="AM46" s="841">
        <f>IF(AND('Year 1'!$B46=$AD$60),$AH$60,IF(AND('Year 1'!$B46=$AD$61),$AH$61,IF(AND('Year 1'!$B46=$AD$62),$AH$62,IF(AND('Year 1'!$B46=$AD$63),$AH$63,IF(AND('Year 1'!$B46=$AD$64),$AH$64,0)))))</f>
        <v>0</v>
      </c>
      <c r="AN46" s="831"/>
      <c r="AO46" s="831"/>
      <c r="AP46" s="831"/>
      <c r="AQ46" s="828"/>
    </row>
    <row r="47" spans="2:43" ht="13.5" customHeight="1">
      <c r="B47" s="605">
        <f>IF(AND(Subcontracts!$Z$50=1),AJ47,IF(AND(Subcontracts!$Z$50=2),AK47,IF(AND(Subcontracts!$Z$50=3),AL47,IF(AND(Subcontracts!$Z$50=4),AM47,0))))</f>
        <v>0</v>
      </c>
      <c r="C47" s="1020"/>
      <c r="D47" s="1021"/>
      <c r="E47" s="1045"/>
      <c r="F47" s="1063"/>
      <c r="G47" s="1063"/>
      <c r="H47" s="1063"/>
      <c r="I47" s="99">
        <f>IF(Subcontracts!$F$5&gt;=5,+'Year 4'!I47+('Year 4'!I47*('Year 4'!$D$2/100)),)</f>
        <v>0</v>
      </c>
      <c r="J47" s="91">
        <f>IF(Subcontracts!$F$5&gt;=5,(((I47/12)*F46)+((I47/9)*G46)+((I47/3)*H46)),)</f>
        <v>0</v>
      </c>
      <c r="K47" s="92">
        <f>(B47/100)*J47</f>
        <v>0</v>
      </c>
      <c r="L47" s="93">
        <f>J47+K47</f>
        <v>0</v>
      </c>
      <c r="N47" s="94"/>
      <c r="O47" s="95"/>
      <c r="P47" s="95"/>
      <c r="Q47" s="95"/>
      <c r="AA47" s="831"/>
      <c r="AB47" s="832">
        <f>'Year 2'!AB47</f>
        <v>0</v>
      </c>
      <c r="AC47" s="831"/>
      <c r="AD47" s="840" t="str">
        <f>'Year 2'!AD47</f>
        <v>year 1</v>
      </c>
      <c r="AE47" s="840" t="str">
        <f>'Year 2'!AE47</f>
        <v>year 2</v>
      </c>
      <c r="AF47" s="840" t="str">
        <f>'Year 2'!AF47</f>
        <v>year 3</v>
      </c>
      <c r="AG47" s="840" t="str">
        <f>'Year 2'!AG47</f>
        <v>year 4</v>
      </c>
      <c r="AH47" s="840" t="str">
        <f>'Year 2'!AH47</f>
        <v>year 5</v>
      </c>
      <c r="AI47" s="840"/>
      <c r="AJ47" s="841">
        <f>IF(AND('Year 1'!$B47=$AD$25),$AH$25,IF(AND('Year 1'!$B47=$AD$26),$AH$26,IF(AND('Year 1'!$B47=$AD$27),$AH$27,IF(AND('Year 1'!$B47=$AD$28),$AH$28,IF(AND('Year 1'!$B47=$AD$29),$AH$29,0)))))</f>
        <v>0</v>
      </c>
      <c r="AK47" s="841">
        <f>IF(AND('Year 1'!$B47=$AD$37),$AH$37,IF(AND('Year 1'!$B47=$AD$38),$AH$38,IF(AND('Year 1'!$B47=$AD$39),$AH$39,IF(AND('Year 1'!$B47=$AD$40),$AH$40,IF(AND('Year 1'!$B47=$AD$41),$AH$41,0)))))</f>
        <v>0</v>
      </c>
      <c r="AL47" s="841">
        <f>IF(AND('Year 1'!$B47=$AD$48),$AH$48,IF(AND('Year 1'!$B47=$AD$49),$AH$49,IF(AND('Year 1'!$B47=$AD$50),$AH$50,IF(AND('Year 1'!$B47=$AD$51),$AH$51,IF(AND('Year 1'!$B47=$AD$52),$AH$52,0)))))</f>
        <v>0</v>
      </c>
      <c r="AM47" s="841">
        <f>IF(AND('Year 1'!$B47=$AD$60),$AH$60,IF(AND('Year 1'!$B47=$AD$61),$AH$61,IF(AND('Year 1'!$B47=$AD$62),$AH$62,IF(AND('Year 1'!$B47=$AD$63),$AH$63,IF(AND('Year 1'!$B47=$AD$64),$AH$64,0)))))</f>
        <v>0</v>
      </c>
      <c r="AN47" s="840"/>
      <c r="AO47" s="840"/>
      <c r="AP47" s="831"/>
      <c r="AQ47" s="828"/>
    </row>
    <row r="48" spans="2:43" ht="13.5" customHeight="1">
      <c r="B48" s="606"/>
      <c r="C48" s="1018">
        <f>IF(Subcontracts!$F$5=0,"",IF(Subcontracts!$F$5&gt;=5,+'Year 4'!C48:D49,""))</f>
        <v>0</v>
      </c>
      <c r="D48" s="1019"/>
      <c r="E48" s="1044">
        <f>IF(Subcontracts!$F$5=0,"",IF(Subcontracts!$F$5&gt;=5,+'Year 4'!E48:E49,""))</f>
        <v>0</v>
      </c>
      <c r="F48" s="1062">
        <f>IF(Subcontracts!$F$5=0,"",IF(Subcontracts!$F$5&gt;=5,+'Year 4'!F48:F49,""))</f>
        <v>0</v>
      </c>
      <c r="G48" s="1062">
        <f>IF(Subcontracts!$F$5=0,"",IF(Subcontracts!$F$5&gt;=5,+'Year 4'!G48:G49,""))</f>
        <v>0</v>
      </c>
      <c r="H48" s="1064">
        <f>IF(Subcontracts!$F$5=0,"",IF(Subcontracts!$F$5&gt;=5,+'Year 4'!H48:H49,""))</f>
        <v>0</v>
      </c>
      <c r="I48" s="97"/>
      <c r="J48" s="87"/>
      <c r="K48" s="87"/>
      <c r="L48" s="88"/>
      <c r="M48" s="95"/>
      <c r="N48" s="95"/>
      <c r="O48" s="95"/>
      <c r="P48" s="95"/>
      <c r="Q48" s="95"/>
      <c r="AA48" s="831"/>
      <c r="AB48" s="832" t="str">
        <f>'Year 2'!AB48</f>
        <v>RF</v>
      </c>
      <c r="AC48" s="831"/>
      <c r="AD48" s="840">
        <f>'Year 2'!AD48</f>
        <v>47.5</v>
      </c>
      <c r="AE48" s="840">
        <f>'Year 2'!AE48</f>
        <v>49</v>
      </c>
      <c r="AF48" s="840">
        <f>'Year 2'!AF48</f>
        <v>49</v>
      </c>
      <c r="AG48" s="840">
        <f>'Year 2'!AG48</f>
        <v>49</v>
      </c>
      <c r="AH48" s="840">
        <f>'Year 2'!AH48</f>
        <v>49</v>
      </c>
      <c r="AI48" s="831"/>
      <c r="AJ48" s="841">
        <f>IF(AND('Year 1'!$B48=$AD$25),$AH$25,IF(AND('Year 1'!$B48=$AD$26),$AH$26,IF(AND('Year 1'!$B48=$AD$27),$AH$27,IF(AND('Year 1'!$B48=$AD$28),$AH$28,IF(AND('Year 1'!$B48=$AD$29),$AH$29,0)))))</f>
        <v>0</v>
      </c>
      <c r="AK48" s="841">
        <f>IF(AND('Year 1'!$B48=$AD$37),$AH$37,IF(AND('Year 1'!$B48=$AD$38),$AH$38,IF(AND('Year 1'!$B48=$AD$39),$AH$39,IF(AND('Year 1'!$B48=$AD$40),$AH$40,IF(AND('Year 1'!$B48=$AD$41),$AH$41,0)))))</f>
        <v>0</v>
      </c>
      <c r="AL48" s="841">
        <f>IF(AND('Year 1'!$B48=$AD$48),$AH$48,IF(AND('Year 1'!$B48=$AD$49),$AH$49,IF(AND('Year 1'!$B48=$AD$50),$AH$50,IF(AND('Year 1'!$B48=$AD$51),$AH$51,IF(AND('Year 1'!$B48=$AD$52),$AH$52,0)))))</f>
        <v>0</v>
      </c>
      <c r="AM48" s="841">
        <f>IF(AND('Year 1'!$B48=$AD$60),$AH$60,IF(AND('Year 1'!$B48=$AD$61),$AH$61,IF(AND('Year 1'!$B48=$AD$62),$AH$62,IF(AND('Year 1'!$B48=$AD$63),$AH$63,IF(AND('Year 1'!$B48=$AD$64),$AH$64,0)))))</f>
        <v>0</v>
      </c>
      <c r="AN48" s="831"/>
      <c r="AO48" s="831"/>
      <c r="AP48" s="831"/>
      <c r="AQ48" s="828"/>
    </row>
    <row r="49" spans="2:43" ht="13.5" customHeight="1" thickBot="1">
      <c r="B49" s="605">
        <f>IF(AND(Subcontracts!$Z$50=1),AJ49,IF(AND(Subcontracts!$Z$50=2),AK49,IF(AND(Subcontracts!$Z$50=3),AL49,IF(AND(Subcontracts!$Z$50=4),AM49,0))))</f>
        <v>0</v>
      </c>
      <c r="C49" s="1020"/>
      <c r="D49" s="1021"/>
      <c r="E49" s="1045"/>
      <c r="F49" s="1063"/>
      <c r="G49" s="1063"/>
      <c r="H49" s="1063"/>
      <c r="I49" s="90">
        <f>IF(Subcontracts!$F$5&gt;=5,+'Year 4'!I49+('Year 4'!I49*('Year 4'!$D$2/100)),)</f>
        <v>0</v>
      </c>
      <c r="J49" s="91">
        <f>IF(Subcontracts!$F$5&gt;=5,(((I49/12)*F48)+((I49/9)*G48)+((I49/3)*H48)),)</f>
        <v>0</v>
      </c>
      <c r="K49" s="92">
        <f>(B49/100)*J49</f>
        <v>0</v>
      </c>
      <c r="L49" s="93">
        <f>J49+K49</f>
        <v>0</v>
      </c>
      <c r="M49" s="95"/>
      <c r="N49" s="95"/>
      <c r="O49" s="95"/>
      <c r="P49" s="95"/>
      <c r="Q49" s="95"/>
      <c r="AA49" s="831"/>
      <c r="AB49" s="832" t="str">
        <f>'Year 2'!AB49</f>
        <v>IFR Summer</v>
      </c>
      <c r="AC49" s="831"/>
      <c r="AD49" s="840">
        <f>'Year 2'!AD49</f>
        <v>15</v>
      </c>
      <c r="AE49" s="840">
        <f>'Year 2'!AE49</f>
        <v>15</v>
      </c>
      <c r="AF49" s="840">
        <f>'Year 2'!AF49</f>
        <v>15</v>
      </c>
      <c r="AG49" s="840">
        <f>'Year 2'!AG49</f>
        <v>15</v>
      </c>
      <c r="AH49" s="840">
        <f>'Year 2'!AH49</f>
        <v>15</v>
      </c>
      <c r="AI49" s="840"/>
      <c r="AJ49" s="841">
        <f>IF(AND('Year 1'!$B49=$AD$25),$AH$25,IF(AND('Year 1'!$B49=$AD$26),$AH$26,IF(AND('Year 1'!$B49=$AD$27),$AH$27,IF(AND('Year 1'!$B49=$AD$28),$AH$28,IF(AND('Year 1'!$B49=$AD$29),$AH$29,0)))))</f>
        <v>0</v>
      </c>
      <c r="AK49" s="841">
        <f>IF(AND('Year 1'!$B49=$AD$37),$AH$37,IF(AND('Year 1'!$B49=$AD$38),$AH$38,IF(AND('Year 1'!$B49=$AD$39),$AH$39,IF(AND('Year 1'!$B49=$AD$40),$AH$40,IF(AND('Year 1'!$B49=$AD$41),$AH$41,0)))))</f>
        <v>0</v>
      </c>
      <c r="AL49" s="841">
        <f>IF(AND('Year 1'!$B49=$AD$48),$AH$48,IF(AND('Year 1'!$B49=$AD$49),$AH$49,IF(AND('Year 1'!$B49=$AD$50),$AH$50,IF(AND('Year 1'!$B49=$AD$51),$AH$51,IF(AND('Year 1'!$B49=$AD$52),$AH$52,0)))))</f>
        <v>0</v>
      </c>
      <c r="AM49" s="841">
        <f>IF(AND('Year 1'!$B49=$AD$60),$AH$60,IF(AND('Year 1'!$B49=$AD$61),$AH$61,IF(AND('Year 1'!$B49=$AD$62),$AH$62,IF(AND('Year 1'!$B49=$AD$63),$AH$63,IF(AND('Year 1'!$B49=$AD$64),$AH$64,0)))))</f>
        <v>0</v>
      </c>
      <c r="AN49" s="840"/>
      <c r="AO49" s="840"/>
      <c r="AP49" s="831"/>
      <c r="AQ49" s="828"/>
    </row>
    <row r="50" spans="2:43" ht="21" customHeight="1" thickBot="1">
      <c r="B50" s="289"/>
      <c r="C50" s="75"/>
      <c r="D50" s="75"/>
      <c r="E50" s="627" t="s">
        <v>70</v>
      </c>
      <c r="F50" s="49"/>
      <c r="G50" s="104"/>
      <c r="H50" s="104"/>
      <c r="I50" s="75"/>
      <c r="J50" s="105">
        <f>SUM(J21:J49)</f>
        <v>0</v>
      </c>
      <c r="K50" s="105">
        <f>SUM(K21:K49)</f>
        <v>0</v>
      </c>
      <c r="L50" s="106">
        <f>SUM(L21:L49)</f>
        <v>0</v>
      </c>
      <c r="AA50" s="831"/>
      <c r="AB50" s="832" t="str">
        <f>'Year 2'!AB50</f>
        <v>Graduate</v>
      </c>
      <c r="AC50" s="831"/>
      <c r="AD50" s="840">
        <f>'Year 2'!AD50</f>
        <v>16</v>
      </c>
      <c r="AE50" s="840">
        <f>'Year 2'!AE50</f>
        <v>17</v>
      </c>
      <c r="AF50" s="840">
        <f>'Year 2'!AF50</f>
        <v>17</v>
      </c>
      <c r="AG50" s="840">
        <f>'Year 2'!AG50</f>
        <v>17</v>
      </c>
      <c r="AH50" s="840">
        <f>'Year 2'!AH50</f>
        <v>17</v>
      </c>
      <c r="AI50" s="831"/>
      <c r="AJ50" s="831"/>
      <c r="AK50" s="831"/>
      <c r="AL50" s="831"/>
      <c r="AM50" s="831"/>
      <c r="AN50" s="831"/>
      <c r="AO50" s="831"/>
      <c r="AP50" s="831"/>
      <c r="AQ50" s="828"/>
    </row>
    <row r="51" spans="2:43" ht="12" customHeight="1">
      <c r="B51" s="286" t="s">
        <v>80</v>
      </c>
      <c r="C51" s="107" t="s">
        <v>71</v>
      </c>
      <c r="D51" s="55"/>
      <c r="E51" s="108"/>
      <c r="F51" s="109"/>
      <c r="G51" s="109"/>
      <c r="H51" s="109"/>
      <c r="I51" s="109"/>
      <c r="J51" s="75"/>
      <c r="K51" s="75"/>
      <c r="L51" s="110"/>
      <c r="AA51" s="831"/>
      <c r="AB51" s="832" t="str">
        <f>'Year 2'!AB51</f>
        <v>Undergrad</v>
      </c>
      <c r="AC51" s="831"/>
      <c r="AD51" s="840">
        <f>'Year 2'!AD51</f>
        <v>5</v>
      </c>
      <c r="AE51" s="840">
        <f>'Year 2'!AE51</f>
        <v>5</v>
      </c>
      <c r="AF51" s="840">
        <f>'Year 2'!AF51</f>
        <v>5</v>
      </c>
      <c r="AG51" s="840">
        <f>'Year 2'!AG51</f>
        <v>5</v>
      </c>
      <c r="AH51" s="840">
        <f>'Year 2'!AH51</f>
        <v>5</v>
      </c>
      <c r="AI51" s="831"/>
      <c r="AJ51" s="828"/>
      <c r="AK51" s="828"/>
      <c r="AL51" s="828"/>
      <c r="AM51" s="828"/>
      <c r="AN51" s="831"/>
      <c r="AO51" s="831"/>
      <c r="AP51" s="831"/>
      <c r="AQ51" s="828"/>
    </row>
    <row r="52" spans="2:43" ht="12.75" customHeight="1">
      <c r="B52" s="293">
        <f>Subcontracts!$C$10</f>
        <v>0</v>
      </c>
      <c r="C52" s="1006">
        <f>IF(Subcontracts!$F$5&gt;=5,+'Year 4'!C52,)</f>
        <v>0</v>
      </c>
      <c r="D52" s="1010"/>
      <c r="E52" s="111">
        <f>IF(Subcontracts!$F$5&gt;=5,+'Year 4'!E52+('Year 4'!E52*$B$52/100),)</f>
        <v>0</v>
      </c>
      <c r="F52" s="1015">
        <f>IF(Subcontracts!$F$5&gt;=5,+'Year 4'!F52,)</f>
        <v>0</v>
      </c>
      <c r="G52" s="1010"/>
      <c r="H52" s="1010"/>
      <c r="I52" s="1010"/>
      <c r="J52" s="1010"/>
      <c r="K52" s="51">
        <f>IF(Subcontracts!$F$5&gt;=5,+'Year 4'!K52+('Year 4'!K52*$B$52/100),)</f>
        <v>0</v>
      </c>
      <c r="L52" s="112"/>
      <c r="AA52" s="831"/>
      <c r="AB52" s="832" t="str">
        <f>'Year 2'!AB52</f>
        <v>IFR</v>
      </c>
      <c r="AC52" s="831"/>
      <c r="AD52" s="840">
        <f>'Year 2'!AD52</f>
        <v>59.38</v>
      </c>
      <c r="AE52" s="840">
        <f>'Year 2'!AE52</f>
        <v>61.645</v>
      </c>
      <c r="AF52" s="840">
        <f>'Year 2'!AF52</f>
        <v>64.05</v>
      </c>
      <c r="AG52" s="840">
        <f>'Year 2'!AG52</f>
        <v>64.05</v>
      </c>
      <c r="AH52" s="840">
        <f>'Year 2'!AH52</f>
        <v>64.05</v>
      </c>
      <c r="AI52" s="831"/>
      <c r="AJ52" s="831"/>
      <c r="AK52" s="831"/>
      <c r="AL52" s="831"/>
      <c r="AM52" s="831"/>
      <c r="AN52" s="831"/>
      <c r="AO52" s="831"/>
      <c r="AP52" s="831"/>
      <c r="AQ52" s="828"/>
    </row>
    <row r="53" spans="2:43" ht="12.75" customHeight="1">
      <c r="B53" s="290"/>
      <c r="C53" s="1008">
        <f>IF(Subcontracts!$F$5&gt;=5,+'Year 4'!C53,)</f>
        <v>0</v>
      </c>
      <c r="D53" s="1009"/>
      <c r="E53" s="113">
        <f>IF(Subcontracts!$F$5&gt;=5,+'Year 4'!E53+('Year 4'!E53*$B$52/100),)</f>
        <v>0</v>
      </c>
      <c r="F53" s="1016">
        <f>IF(Subcontracts!$F$5&gt;=5,+'Year 4'!F53,)</f>
        <v>0</v>
      </c>
      <c r="G53" s="1009"/>
      <c r="H53" s="1009"/>
      <c r="I53" s="1009"/>
      <c r="J53" s="1009"/>
      <c r="K53" s="114">
        <f>IF(Subcontracts!$F$5&gt;=5,+'Year 4'!K53+('Year 4'!K53*$B$52/100),)</f>
        <v>0</v>
      </c>
      <c r="L53" s="115">
        <f>E52+E53+K52+K53</f>
        <v>0</v>
      </c>
      <c r="AA53" s="831"/>
      <c r="AB53" s="832" t="str">
        <f>'Year 2'!AB53</f>
        <v>F&amp;A</v>
      </c>
      <c r="AC53" s="831"/>
      <c r="AD53" s="840">
        <f>'Year 2'!AD53</f>
        <v>59.5</v>
      </c>
      <c r="AE53" s="840">
        <f>'Year 2'!AE53</f>
        <v>59.5</v>
      </c>
      <c r="AF53" s="840">
        <f>'Year 2'!AF53</f>
        <v>59.5</v>
      </c>
      <c r="AG53" s="840">
        <f>'Year 2'!AG53</f>
        <v>59.5</v>
      </c>
      <c r="AH53" s="840">
        <f>'Year 2'!AH53</f>
        <v>59.5</v>
      </c>
      <c r="AI53" s="831"/>
      <c r="AJ53" s="831"/>
      <c r="AK53" s="831"/>
      <c r="AL53" s="831"/>
      <c r="AM53" s="831"/>
      <c r="AN53" s="831"/>
      <c r="AO53" s="831"/>
      <c r="AP53" s="831"/>
      <c r="AQ53" s="828"/>
    </row>
    <row r="54" spans="2:42" ht="12" customHeight="1">
      <c r="B54" s="290"/>
      <c r="C54" s="116" t="s">
        <v>152</v>
      </c>
      <c r="D54" s="117"/>
      <c r="E54" s="118"/>
      <c r="F54" s="119"/>
      <c r="G54" s="119"/>
      <c r="H54" s="119"/>
      <c r="I54" s="119"/>
      <c r="J54" s="119"/>
      <c r="K54" s="119"/>
      <c r="L54" s="11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831"/>
      <c r="AB54" s="832">
        <f>'Year 2'!AB54</f>
        <v>0</v>
      </c>
      <c r="AC54" s="831"/>
      <c r="AD54" s="840">
        <f>'Year 2'!AD54</f>
        <v>0</v>
      </c>
      <c r="AE54" s="840">
        <f>'Year 2'!AE54</f>
        <v>0</v>
      </c>
      <c r="AF54" s="840">
        <f>'Year 2'!AF54</f>
        <v>0</v>
      </c>
      <c r="AG54" s="840">
        <f>'Year 2'!AG54</f>
        <v>0</v>
      </c>
      <c r="AH54" s="840">
        <f>'Year 2'!AH54</f>
        <v>0</v>
      </c>
      <c r="AI54" s="831"/>
      <c r="AJ54" s="831"/>
      <c r="AK54" s="831"/>
      <c r="AL54" s="831"/>
      <c r="AM54" s="831"/>
      <c r="AN54" s="831"/>
      <c r="AO54" s="831"/>
      <c r="AP54" s="831"/>
    </row>
    <row r="55" spans="2:42" ht="15" customHeight="1">
      <c r="B55" s="290"/>
      <c r="C55" s="1015"/>
      <c r="D55" s="1010"/>
      <c r="E55" s="111"/>
      <c r="F55" s="1017"/>
      <c r="G55" s="1007"/>
      <c r="H55" s="1007"/>
      <c r="I55" s="1007"/>
      <c r="J55" s="1007"/>
      <c r="K55" s="111"/>
      <c r="L55" s="121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831"/>
      <c r="AB55" s="832">
        <f>'Year 2'!AB55</f>
        <v>0</v>
      </c>
      <c r="AC55" s="831"/>
      <c r="AD55" s="840">
        <f>'Year 2'!AD55</f>
        <v>0</v>
      </c>
      <c r="AE55" s="840">
        <f>'Year 2'!AE55</f>
        <v>0</v>
      </c>
      <c r="AF55" s="840">
        <f>'Year 2'!AF55</f>
        <v>0</v>
      </c>
      <c r="AG55" s="840">
        <f>'Year 2'!AG55</f>
        <v>0</v>
      </c>
      <c r="AH55" s="840">
        <f>'Year 2'!AH55</f>
        <v>0</v>
      </c>
      <c r="AI55" s="831"/>
      <c r="AJ55" s="831"/>
      <c r="AK55" s="831"/>
      <c r="AL55" s="831"/>
      <c r="AM55" s="831"/>
      <c r="AN55" s="831"/>
      <c r="AO55" s="831"/>
      <c r="AP55" s="831"/>
    </row>
    <row r="56" spans="2:42" ht="13.5" customHeight="1">
      <c r="B56" s="290"/>
      <c r="C56" s="1015"/>
      <c r="D56" s="1010"/>
      <c r="E56" s="111"/>
      <c r="F56" s="1017"/>
      <c r="G56" s="1007"/>
      <c r="H56" s="1007"/>
      <c r="I56" s="1007"/>
      <c r="J56" s="1007"/>
      <c r="K56" s="111"/>
      <c r="L56" s="112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831"/>
      <c r="AB56" s="832">
        <f>'Year 2'!AB56</f>
        <v>0</v>
      </c>
      <c r="AC56" s="831"/>
      <c r="AD56" s="840">
        <f>'Year 2'!AD56</f>
        <v>0</v>
      </c>
      <c r="AE56" s="840">
        <f>'Year 2'!AE56</f>
        <v>0</v>
      </c>
      <c r="AF56" s="840">
        <f>'Year 2'!AF56</f>
        <v>0</v>
      </c>
      <c r="AG56" s="840">
        <f>'Year 2'!AG56</f>
        <v>0</v>
      </c>
      <c r="AH56" s="840">
        <f>'Year 2'!AH56</f>
        <v>0</v>
      </c>
      <c r="AI56" s="831"/>
      <c r="AJ56" s="831"/>
      <c r="AK56" s="831"/>
      <c r="AL56" s="831"/>
      <c r="AM56" s="831"/>
      <c r="AN56" s="831"/>
      <c r="AO56" s="831"/>
      <c r="AP56" s="831"/>
    </row>
    <row r="57" spans="2:42" ht="15" customHeight="1">
      <c r="B57" s="290"/>
      <c r="C57" s="1013"/>
      <c r="D57" s="1014"/>
      <c r="E57" s="113"/>
      <c r="F57" s="1013"/>
      <c r="G57" s="1014"/>
      <c r="H57" s="1014"/>
      <c r="I57" s="1014"/>
      <c r="J57" s="1014"/>
      <c r="K57" s="113"/>
      <c r="L57" s="115">
        <f>E55+E56+E57+K55+K56+K57</f>
        <v>0</v>
      </c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831"/>
      <c r="AB57" s="832" t="str">
        <f>'Year 2'!AB57</f>
        <v>number 4</v>
      </c>
      <c r="AC57" s="831"/>
      <c r="AD57" s="840">
        <f>'Year 2'!AD57</f>
        <v>0</v>
      </c>
      <c r="AE57" s="840">
        <f>'Year 2'!AE57</f>
        <v>0</v>
      </c>
      <c r="AF57" s="840">
        <f>'Year 2'!AF57</f>
        <v>0</v>
      </c>
      <c r="AG57" s="840">
        <f>'Year 2'!AG57</f>
        <v>0</v>
      </c>
      <c r="AH57" s="840">
        <f>'Year 2'!AH57</f>
        <v>0</v>
      </c>
      <c r="AI57" s="831"/>
      <c r="AJ57" s="831"/>
      <c r="AK57" s="831"/>
      <c r="AL57" s="831"/>
      <c r="AM57" s="831"/>
      <c r="AN57" s="831"/>
      <c r="AO57" s="831"/>
      <c r="AP57" s="831"/>
    </row>
    <row r="58" spans="2:42" ht="12" customHeight="1">
      <c r="B58" s="287" t="s">
        <v>80</v>
      </c>
      <c r="C58" s="116" t="s">
        <v>153</v>
      </c>
      <c r="D58" s="65"/>
      <c r="E58" s="43"/>
      <c r="F58" s="118"/>
      <c r="G58" s="43"/>
      <c r="H58" s="43"/>
      <c r="I58" s="43"/>
      <c r="J58" s="43"/>
      <c r="K58" s="43"/>
      <c r="L58" s="110"/>
      <c r="AA58" s="831"/>
      <c r="AB58" s="832" t="str">
        <f>'Year 2'!AB58</f>
        <v>year 1 start between 1/1/19 - 12/31/19</v>
      </c>
      <c r="AC58" s="831"/>
      <c r="AD58" s="840">
        <f>'Year 2'!AD58</f>
        <v>0</v>
      </c>
      <c r="AE58" s="840">
        <f>'Year 2'!AE58</f>
        <v>0</v>
      </c>
      <c r="AF58" s="840">
        <f>'Year 2'!AF58</f>
        <v>0</v>
      </c>
      <c r="AG58" s="840">
        <f>'Year 2'!AG58</f>
        <v>0</v>
      </c>
      <c r="AH58" s="840">
        <f>'Year 2'!AH58</f>
        <v>0</v>
      </c>
      <c r="AI58" s="831"/>
      <c r="AJ58" s="831"/>
      <c r="AK58" s="831"/>
      <c r="AL58" s="831"/>
      <c r="AM58" s="831"/>
      <c r="AN58" s="831"/>
      <c r="AO58" s="831"/>
      <c r="AP58" s="831"/>
    </row>
    <row r="59" spans="2:42" ht="15" customHeight="1">
      <c r="B59" s="293">
        <f>Subcontracts!$C$10</f>
        <v>0</v>
      </c>
      <c r="C59" s="1006">
        <f>IF(Subcontracts!$F$5&gt;=5,+'Year 4'!C59,)</f>
        <v>0</v>
      </c>
      <c r="D59" s="1010"/>
      <c r="E59" s="111">
        <f>IF(Subcontracts!$F$5&gt;=5,+'Year 4'!E59+('Year 4'!E59*$B$59/100),)</f>
        <v>0</v>
      </c>
      <c r="F59" s="1006">
        <f>IF(Subcontracts!$F$5&gt;=5,+'Year 4'!F59,)</f>
        <v>0</v>
      </c>
      <c r="G59" s="1007"/>
      <c r="H59" s="1007"/>
      <c r="I59" s="1007"/>
      <c r="J59" s="1007"/>
      <c r="K59" s="111">
        <f>IF(Subcontracts!$F$5&gt;=5,+'Year 4'!K59+('Year 4'!K59*$B$59/100),)</f>
        <v>0</v>
      </c>
      <c r="L59" s="112"/>
      <c r="M59" s="49"/>
      <c r="N59" s="49"/>
      <c r="O59" s="49"/>
      <c r="P59" s="49"/>
      <c r="Q59" s="49"/>
      <c r="AA59" s="831"/>
      <c r="AB59" s="832">
        <f>'Year 2'!AB59</f>
        <v>0</v>
      </c>
      <c r="AC59" s="831"/>
      <c r="AD59" s="840" t="str">
        <f>'Year 2'!AD59</f>
        <v>year 1</v>
      </c>
      <c r="AE59" s="840" t="str">
        <f>'Year 2'!AE59</f>
        <v>year 2</v>
      </c>
      <c r="AF59" s="840" t="str">
        <f>'Year 2'!AF59</f>
        <v>year 3</v>
      </c>
      <c r="AG59" s="840" t="str">
        <f>'Year 2'!AG59</f>
        <v>year 4</v>
      </c>
      <c r="AH59" s="840" t="str">
        <f>'Year 2'!AH59</f>
        <v>year 5</v>
      </c>
      <c r="AI59" s="831"/>
      <c r="AJ59" s="831"/>
      <c r="AK59" s="831"/>
      <c r="AL59" s="831"/>
      <c r="AM59" s="831"/>
      <c r="AN59" s="831"/>
      <c r="AO59" s="831"/>
      <c r="AP59" s="831"/>
    </row>
    <row r="60" spans="2:42" ht="15" customHeight="1">
      <c r="B60" s="290"/>
      <c r="C60" s="1006">
        <f>IF(Subcontracts!$F$5&gt;=5,+'Year 4'!C60,)</f>
        <v>0</v>
      </c>
      <c r="D60" s="1010"/>
      <c r="E60" s="111">
        <f>IF(Subcontracts!$F$5&gt;=5,+'Year 4'!E60+('Year 4'!E60*$B$59/100),)</f>
        <v>0</v>
      </c>
      <c r="F60" s="1006">
        <f>IF(Subcontracts!$F$5&gt;=5,+'Year 4'!F60,)</f>
        <v>0</v>
      </c>
      <c r="G60" s="1007"/>
      <c r="H60" s="1007"/>
      <c r="I60" s="1007"/>
      <c r="J60" s="1007"/>
      <c r="K60" s="111">
        <f>IF(Subcontracts!$F$5&gt;=5,+'Year 4'!K60+('Year 4'!K60*$B$59/100),)</f>
        <v>0</v>
      </c>
      <c r="L60" s="112"/>
      <c r="AA60" s="831"/>
      <c r="AB60" s="832" t="str">
        <f>'Year 2'!AB60</f>
        <v>RF</v>
      </c>
      <c r="AC60" s="831"/>
      <c r="AD60" s="840">
        <f>'Year 2'!AD60</f>
        <v>49</v>
      </c>
      <c r="AE60" s="840">
        <f>'Year 2'!AE60</f>
        <v>49</v>
      </c>
      <c r="AF60" s="840">
        <f>'Year 2'!AF60</f>
        <v>49</v>
      </c>
      <c r="AG60" s="840">
        <f>'Year 2'!AG60</f>
        <v>49</v>
      </c>
      <c r="AH60" s="840">
        <f>'Year 2'!AH60</f>
        <v>49</v>
      </c>
      <c r="AI60" s="831"/>
      <c r="AJ60" s="831"/>
      <c r="AK60" s="831"/>
      <c r="AL60" s="831"/>
      <c r="AM60" s="831"/>
      <c r="AN60" s="831"/>
      <c r="AO60" s="831"/>
      <c r="AP60" s="831"/>
    </row>
    <row r="61" spans="2:42" ht="15.75" customHeight="1">
      <c r="B61" s="290"/>
      <c r="C61" s="1006">
        <f>IF(Subcontracts!$F$5&gt;=5,+'Year 4'!C61,)</f>
        <v>0</v>
      </c>
      <c r="D61" s="1010"/>
      <c r="E61" s="111">
        <f>IF(Subcontracts!$F$5&gt;=5,+'Year 4'!E61+('Year 4'!E61*$B$59/100),)</f>
        <v>0</v>
      </c>
      <c r="F61" s="1006">
        <f>IF(Subcontracts!$F$5&gt;=5,+'Year 4'!F61,)</f>
        <v>0</v>
      </c>
      <c r="G61" s="1007"/>
      <c r="H61" s="1007"/>
      <c r="I61" s="1007"/>
      <c r="J61" s="1007"/>
      <c r="K61" s="111">
        <f>IF(Subcontracts!$F$5&gt;=5,+'Year 4'!K61+('Year 4'!K61*$B$59/100),)</f>
        <v>0</v>
      </c>
      <c r="L61" s="121"/>
      <c r="AA61" s="831"/>
      <c r="AB61" s="832" t="str">
        <f>'Year 2'!AB61</f>
        <v>IFR Summer</v>
      </c>
      <c r="AC61" s="831"/>
      <c r="AD61" s="840">
        <f>'Year 2'!AD61</f>
        <v>15</v>
      </c>
      <c r="AE61" s="840">
        <f>'Year 2'!AE61</f>
        <v>15</v>
      </c>
      <c r="AF61" s="840">
        <f>'Year 2'!AF61</f>
        <v>15</v>
      </c>
      <c r="AG61" s="840">
        <f>'Year 2'!AG61</f>
        <v>15</v>
      </c>
      <c r="AH61" s="840">
        <f>'Year 2'!AH61</f>
        <v>15</v>
      </c>
      <c r="AI61" s="831"/>
      <c r="AJ61" s="831"/>
      <c r="AK61" s="831"/>
      <c r="AL61" s="831"/>
      <c r="AM61" s="831"/>
      <c r="AN61" s="831"/>
      <c r="AO61" s="831"/>
      <c r="AP61" s="831"/>
    </row>
    <row r="62" spans="2:42" ht="15" customHeight="1">
      <c r="B62" s="290"/>
      <c r="C62" s="1006">
        <f>IF(Subcontracts!$F$5&gt;=5,+'Year 4'!C62,)</f>
        <v>0</v>
      </c>
      <c r="D62" s="1010"/>
      <c r="E62" s="111">
        <f>IF(Subcontracts!$F$5&gt;=5,+'Year 4'!E62+('Year 4'!E62*$B$59/100),)</f>
        <v>0</v>
      </c>
      <c r="F62" s="1006">
        <f>IF(Subcontracts!$F$5&gt;=5,+'Year 4'!F62,)</f>
        <v>0</v>
      </c>
      <c r="G62" s="1007"/>
      <c r="H62" s="1007"/>
      <c r="I62" s="1007"/>
      <c r="J62" s="1007"/>
      <c r="K62" s="111">
        <f>IF(Subcontracts!$F$5&gt;=5,+'Year 4'!K62+('Year 4'!K62*$B$59/100),)</f>
        <v>0</v>
      </c>
      <c r="L62" s="112"/>
      <c r="AA62" s="831"/>
      <c r="AB62" s="832" t="str">
        <f>'Year 2'!AB62</f>
        <v>Graduate</v>
      </c>
      <c r="AC62" s="831"/>
      <c r="AD62" s="840">
        <f>'Year 2'!AD62</f>
        <v>17</v>
      </c>
      <c r="AE62" s="840">
        <f>'Year 2'!AE62</f>
        <v>17</v>
      </c>
      <c r="AF62" s="840">
        <f>'Year 2'!AF62</f>
        <v>17</v>
      </c>
      <c r="AG62" s="840">
        <f>'Year 2'!AG62</f>
        <v>17</v>
      </c>
      <c r="AH62" s="840">
        <f>'Year 2'!AH62</f>
        <v>17</v>
      </c>
      <c r="AI62" s="831"/>
      <c r="AJ62" s="831"/>
      <c r="AK62" s="831"/>
      <c r="AL62" s="831"/>
      <c r="AM62" s="831"/>
      <c r="AN62" s="831"/>
      <c r="AO62" s="831"/>
      <c r="AP62" s="831"/>
    </row>
    <row r="63" spans="2:42" ht="15" customHeight="1">
      <c r="B63" s="290"/>
      <c r="C63" s="1006">
        <f>IF(Subcontracts!$F$5&gt;=5,+'Year 4'!C63,)</f>
        <v>0</v>
      </c>
      <c r="D63" s="1010"/>
      <c r="E63" s="111">
        <f>IF(Subcontracts!$F$5&gt;=5,+'Year 4'!E63+('Year 4'!E63*$B$59/100),)</f>
        <v>0</v>
      </c>
      <c r="F63" s="1006">
        <f>IF(Subcontracts!$F$5&gt;=5,+'Year 4'!F63,)</f>
        <v>0</v>
      </c>
      <c r="G63" s="1007"/>
      <c r="H63" s="1007"/>
      <c r="I63" s="1007"/>
      <c r="J63" s="1007"/>
      <c r="K63" s="111">
        <f>IF(Subcontracts!$F$5&gt;=5,+'Year 4'!K63+('Year 4'!K63*$B$59/100),)</f>
        <v>0</v>
      </c>
      <c r="L63" s="112"/>
      <c r="AA63" s="831"/>
      <c r="AB63" s="832" t="str">
        <f>'Year 2'!AB63</f>
        <v>Undergrad</v>
      </c>
      <c r="AC63" s="831"/>
      <c r="AD63" s="840">
        <f>'Year 2'!AD63</f>
        <v>5</v>
      </c>
      <c r="AE63" s="840">
        <f>'Year 2'!AE63</f>
        <v>5</v>
      </c>
      <c r="AF63" s="840">
        <f>'Year 2'!AF63</f>
        <v>5</v>
      </c>
      <c r="AG63" s="840">
        <f>'Year 2'!AG63</f>
        <v>5</v>
      </c>
      <c r="AH63" s="840">
        <f>'Year 2'!AH63</f>
        <v>5</v>
      </c>
      <c r="AI63" s="831"/>
      <c r="AJ63" s="831"/>
      <c r="AK63" s="831"/>
      <c r="AL63" s="831"/>
      <c r="AM63" s="831"/>
      <c r="AN63" s="831"/>
      <c r="AO63" s="831"/>
      <c r="AP63" s="831"/>
    </row>
    <row r="64" spans="2:42" ht="15" customHeight="1">
      <c r="B64" s="290"/>
      <c r="C64" s="1008">
        <f>IF(Subcontracts!$F$5&gt;=5,+'Year 4'!C64,)</f>
        <v>0</v>
      </c>
      <c r="D64" s="1009"/>
      <c r="E64" s="113">
        <f>IF(Subcontracts!$F$5&gt;=5,+'Year 4'!E64+('Year 4'!E64*$B$59/100),)</f>
        <v>0</v>
      </c>
      <c r="F64" s="1008">
        <f>IF(Subcontracts!$F$5&gt;=5,+'Year 4'!F64,)</f>
        <v>0</v>
      </c>
      <c r="G64" s="1009"/>
      <c r="H64" s="1009"/>
      <c r="I64" s="1009"/>
      <c r="J64" s="1009"/>
      <c r="K64" s="113">
        <f>IF(Subcontracts!$F$5&gt;=5,+'Year 4'!K64+('Year 4'!K64*$B$59/100),)</f>
        <v>0</v>
      </c>
      <c r="L64" s="115">
        <f>SUM(E59:E64)+SUM(K59:K64)</f>
        <v>0</v>
      </c>
      <c r="AA64" s="831"/>
      <c r="AB64" s="832" t="str">
        <f>'Year 2'!AB64</f>
        <v>IFR</v>
      </c>
      <c r="AC64" s="831"/>
      <c r="AD64" s="840">
        <f>'Year 2'!AD64</f>
        <v>61.645</v>
      </c>
      <c r="AE64" s="840">
        <f>'Year 2'!AE64</f>
        <v>64.05</v>
      </c>
      <c r="AF64" s="840">
        <f>'Year 2'!AF64</f>
        <v>64.05</v>
      </c>
      <c r="AG64" s="840">
        <f>'Year 2'!AG64</f>
        <v>64.05</v>
      </c>
      <c r="AH64" s="840">
        <f>'Year 2'!AH64</f>
        <v>64.05</v>
      </c>
      <c r="AI64" s="831"/>
      <c r="AJ64" s="831"/>
      <c r="AK64" s="831"/>
      <c r="AL64" s="831"/>
      <c r="AM64" s="831"/>
      <c r="AN64" s="831"/>
      <c r="AO64" s="831"/>
      <c r="AP64" s="831"/>
    </row>
    <row r="65" spans="2:42" ht="12" customHeight="1">
      <c r="B65" s="287" t="s">
        <v>80</v>
      </c>
      <c r="C65" s="116" t="s">
        <v>72</v>
      </c>
      <c r="D65" s="65"/>
      <c r="E65" s="43"/>
      <c r="F65" s="118"/>
      <c r="G65" s="43"/>
      <c r="H65" s="43"/>
      <c r="I65" s="43"/>
      <c r="J65" s="43"/>
      <c r="K65" s="43"/>
      <c r="L65" s="110"/>
      <c r="AA65" s="831"/>
      <c r="AB65" s="832" t="str">
        <f>'Year 2'!AB65</f>
        <v>F&amp;A</v>
      </c>
      <c r="AC65" s="831"/>
      <c r="AD65" s="840">
        <f>'Year 2'!AD65</f>
        <v>59.5</v>
      </c>
      <c r="AE65" s="840">
        <f>'Year 2'!AE65</f>
        <v>59.5</v>
      </c>
      <c r="AF65" s="840">
        <f>'Year 2'!AF65</f>
        <v>59.5</v>
      </c>
      <c r="AG65" s="840">
        <f>'Year 2'!AG65</f>
        <v>59.5</v>
      </c>
      <c r="AH65" s="840">
        <f>'Year 2'!AH65</f>
        <v>59.5</v>
      </c>
      <c r="AI65" s="831"/>
      <c r="AJ65" s="831"/>
      <c r="AK65" s="831"/>
      <c r="AL65" s="831"/>
      <c r="AM65" s="831"/>
      <c r="AN65" s="831"/>
      <c r="AO65" s="831"/>
      <c r="AP65" s="831"/>
    </row>
    <row r="66" spans="2:42" ht="13.5" customHeight="1">
      <c r="B66" s="293">
        <f>Subcontracts!$C$10</f>
        <v>0</v>
      </c>
      <c r="C66" s="1011">
        <f>IF(Subcontracts!$F$5&gt;=5,+'Year 4'!C66,)</f>
        <v>0</v>
      </c>
      <c r="D66" s="1058"/>
      <c r="E66" s="885">
        <f>IF(Subcontracts!$F$5&gt;=5,+'Year 4'!E66+('Year 4'!E66*$B$66/100),)</f>
        <v>0</v>
      </c>
      <c r="F66" s="122"/>
      <c r="G66" s="122"/>
      <c r="H66" s="122"/>
      <c r="I66" s="122"/>
      <c r="J66" s="123"/>
      <c r="K66" s="123"/>
      <c r="L66" s="115">
        <f>+E66</f>
        <v>0</v>
      </c>
      <c r="AA66" s="831"/>
      <c r="AB66" s="832">
        <f>'Year 2'!AB66</f>
        <v>0</v>
      </c>
      <c r="AC66" s="831"/>
      <c r="AD66" s="831"/>
      <c r="AE66" s="831"/>
      <c r="AF66" s="831"/>
      <c r="AG66" s="831"/>
      <c r="AH66" s="831"/>
      <c r="AI66" s="831"/>
      <c r="AJ66" s="831"/>
      <c r="AK66" s="831"/>
      <c r="AL66" s="831"/>
      <c r="AM66" s="831"/>
      <c r="AN66" s="831"/>
      <c r="AO66" s="831"/>
      <c r="AP66" s="831"/>
    </row>
    <row r="67" spans="2:12" ht="15.75" customHeight="1">
      <c r="B67" s="124"/>
      <c r="C67" s="891" t="s">
        <v>404</v>
      </c>
      <c r="D67" s="882"/>
      <c r="E67" s="887"/>
      <c r="F67" s="113"/>
      <c r="G67" s="125"/>
      <c r="H67" s="125"/>
      <c r="I67" s="125"/>
      <c r="J67" s="126"/>
      <c r="K67" s="126"/>
      <c r="L67" s="127"/>
    </row>
    <row r="68" spans="2:12" ht="15.75" customHeight="1">
      <c r="B68" s="178"/>
      <c r="C68" s="54" t="s">
        <v>405</v>
      </c>
      <c r="D68" s="128"/>
      <c r="E68" s="887"/>
      <c r="F68" s="129"/>
      <c r="G68" s="125"/>
      <c r="H68" s="125"/>
      <c r="I68" s="125"/>
      <c r="J68" s="126"/>
      <c r="K68" s="126"/>
      <c r="L68" s="127"/>
    </row>
    <row r="69" spans="2:12" ht="12" customHeight="1">
      <c r="B69" s="178"/>
      <c r="C69" s="116" t="s">
        <v>150</v>
      </c>
      <c r="D69" s="65"/>
      <c r="E69" s="43"/>
      <c r="F69" s="130"/>
      <c r="G69" s="131"/>
      <c r="H69" s="131"/>
      <c r="I69" s="131"/>
      <c r="J69" s="43"/>
      <c r="K69" s="43"/>
      <c r="L69" s="110"/>
    </row>
    <row r="70" spans="2:12" ht="12.75" customHeight="1">
      <c r="B70" s="178"/>
      <c r="C70" s="129"/>
      <c r="D70" s="132"/>
      <c r="E70" s="129"/>
      <c r="F70" s="122"/>
      <c r="G70" s="122"/>
      <c r="H70" s="122"/>
      <c r="I70" s="122"/>
      <c r="J70" s="123"/>
      <c r="K70" s="123"/>
      <c r="L70" s="115">
        <f>+E70</f>
        <v>0</v>
      </c>
    </row>
    <row r="71" spans="2:12" ht="20.25" customHeight="1">
      <c r="B71" s="288" t="s">
        <v>80</v>
      </c>
      <c r="C71" s="285" t="s">
        <v>154</v>
      </c>
      <c r="D71" s="65"/>
      <c r="E71" s="43"/>
      <c r="F71" s="118"/>
      <c r="G71" s="43"/>
      <c r="H71" s="43"/>
      <c r="I71" s="131"/>
      <c r="J71" s="43"/>
      <c r="K71" s="43"/>
      <c r="L71" s="110"/>
    </row>
    <row r="72" spans="2:12" ht="12" customHeight="1">
      <c r="B72" s="577">
        <f>Subcontracts!$C$10</f>
        <v>0</v>
      </c>
      <c r="C72" s="1006">
        <f>IF(D78&gt;0,"Tuition",)</f>
        <v>0</v>
      </c>
      <c r="D72" s="1010"/>
      <c r="E72" s="111">
        <f>IF(D78&gt;0,D78,)</f>
        <v>0</v>
      </c>
      <c r="F72" s="1006">
        <f>IF(Subcontracts!$F$5&gt;=5,+'Year 4'!F72,)</f>
        <v>0</v>
      </c>
      <c r="G72" s="1007"/>
      <c r="H72" s="1007"/>
      <c r="I72" s="1007"/>
      <c r="J72" s="1007"/>
      <c r="K72" s="111">
        <f>IF(Subcontracts!$F$5&gt;=5,+'Year 4'!K72+('Year 4'!K72*$B$72/100),)</f>
        <v>0</v>
      </c>
      <c r="L72" s="112"/>
    </row>
    <row r="73" spans="2:12" ht="12" customHeight="1">
      <c r="B73" s="178"/>
      <c r="C73" s="1006">
        <f>IF(Subcontracts!$F$5&gt;=5,+'Year 4'!C73,)</f>
        <v>0</v>
      </c>
      <c r="D73" s="1053"/>
      <c r="E73" s="111">
        <f>IF(Subcontracts!$F$5&gt;=5,+'Year 4'!E73+('Year 4'!E73*$B$72/100),)</f>
        <v>0</v>
      </c>
      <c r="F73" s="1006">
        <f>IF(Subcontracts!$F$5&gt;=5,+'Year 4'!F73,)</f>
        <v>0</v>
      </c>
      <c r="G73" s="1007"/>
      <c r="H73" s="1007"/>
      <c r="I73" s="1007"/>
      <c r="J73" s="1007"/>
      <c r="K73" s="111">
        <f>IF(Subcontracts!$F$5&gt;=5,+'Year 4'!K73+('Year 4'!K73*$B$72/100),)</f>
        <v>0</v>
      </c>
      <c r="L73" s="112"/>
    </row>
    <row r="74" spans="2:12" ht="12" customHeight="1">
      <c r="B74" s="178"/>
      <c r="C74" s="1006">
        <f>IF(Subcontracts!$F$5&gt;=5,+'Year 4'!C74,)</f>
        <v>0</v>
      </c>
      <c r="D74" s="1053"/>
      <c r="E74" s="111">
        <f>IF(Subcontracts!$F$5&gt;=5,+'Year 4'!E74+('Year 4'!E74*$B$72/100),)</f>
        <v>0</v>
      </c>
      <c r="F74" s="1006">
        <f>IF(Subcontracts!$F$5&gt;=5,+'Year 4'!F74,)</f>
        <v>0</v>
      </c>
      <c r="G74" s="1007"/>
      <c r="H74" s="1007"/>
      <c r="I74" s="1007"/>
      <c r="J74" s="1007"/>
      <c r="K74" s="111">
        <f>IF(Subcontracts!$F$5&gt;=5,+'Year 4'!K74+('Year 4'!K74*$B$72/100),)</f>
        <v>0</v>
      </c>
      <c r="L74" s="112"/>
    </row>
    <row r="75" spans="2:12" ht="12" customHeight="1">
      <c r="B75" s="178"/>
      <c r="C75" s="1006">
        <f>IF(Subcontracts!$F$5&gt;=5,+'Year 4'!C75,)</f>
        <v>0</v>
      </c>
      <c r="D75" s="1053"/>
      <c r="E75" s="111">
        <f>IF(Subcontracts!$F$5&gt;=5,+'Year 4'!E75+('Year 4'!E75*$B$72/100),)</f>
        <v>0</v>
      </c>
      <c r="F75" s="1006">
        <f>IF(Subcontracts!$F$5&gt;=5,+'Year 4'!F75,)</f>
        <v>0</v>
      </c>
      <c r="G75" s="1007"/>
      <c r="H75" s="1007"/>
      <c r="I75" s="1007"/>
      <c r="J75" s="1007"/>
      <c r="K75" s="111">
        <f>IF(Subcontracts!$F$5&gt;=5,+'Year 4'!K75+('Year 4'!K75*$B$72/100),)</f>
        <v>0</v>
      </c>
      <c r="L75" s="112"/>
    </row>
    <row r="76" spans="2:12" ht="12" customHeight="1">
      <c r="B76" s="178"/>
      <c r="C76" s="1006">
        <f>IF(Subcontracts!$F$5&gt;=5,+'Year 4'!C76,)</f>
        <v>0</v>
      </c>
      <c r="D76" s="1053"/>
      <c r="E76" s="111">
        <f>IF(Subcontracts!$F$5&gt;=5,+'Year 4'!E76+('Year 4'!E76*$B$72/100),)</f>
        <v>0</v>
      </c>
      <c r="F76" s="1006">
        <f>IF(Subcontracts!$F$5&gt;=5,+'Year 4'!F76,)</f>
        <v>0</v>
      </c>
      <c r="G76" s="1007"/>
      <c r="H76" s="1007"/>
      <c r="I76" s="1007"/>
      <c r="J76" s="1007"/>
      <c r="K76" s="111">
        <f>IF(Subcontracts!$F$5&gt;=5,+'Year 4'!K76+('Year 4'!K76*$B$72/100),)</f>
        <v>0</v>
      </c>
      <c r="L76" s="112"/>
    </row>
    <row r="77" spans="2:12" ht="12.75" customHeight="1">
      <c r="B77" s="178"/>
      <c r="C77" s="1008">
        <f>IF(Subcontracts!$F$5&gt;=5,+'Year 4'!C77,)</f>
        <v>0</v>
      </c>
      <c r="D77" s="1052"/>
      <c r="E77" s="111">
        <f>IF(Subcontracts!$F$5&gt;=5,+'Year 4'!E77+('Year 4'!E77*$B$72/100),)</f>
        <v>0</v>
      </c>
      <c r="F77" s="1008">
        <f>IF(Subcontracts!$F$5&gt;=5,+'Year 4'!F77,)</f>
        <v>0</v>
      </c>
      <c r="G77" s="1009"/>
      <c r="H77" s="1009"/>
      <c r="I77" s="1009"/>
      <c r="J77" s="1009"/>
      <c r="K77" s="111">
        <f>IF(Subcontracts!$F$5&gt;=5,+'Year 4'!K77+('Year 4'!K77*$B$72/100),)</f>
        <v>0</v>
      </c>
      <c r="L77" s="133">
        <f>SUM(E72:E77)+SUM(K72:K77)</f>
        <v>0</v>
      </c>
    </row>
    <row r="78" spans="1:12" ht="12.75" customHeight="1">
      <c r="A78" s="95"/>
      <c r="B78" s="134"/>
      <c r="C78" s="135" t="s">
        <v>10</v>
      </c>
      <c r="D78" s="136">
        <f>IF(Subcontracts!F5&gt;=5,(Subcontracts!AE30+Subcontracts!AE45),)</f>
        <v>0</v>
      </c>
      <c r="E78" s="137"/>
      <c r="F78" s="138"/>
      <c r="G78" s="139"/>
      <c r="H78" s="139"/>
      <c r="I78" s="139"/>
      <c r="J78" s="140"/>
      <c r="K78" s="141"/>
      <c r="L78" s="142">
        <f>D78+J78</f>
        <v>0</v>
      </c>
    </row>
    <row r="79" spans="1:12" ht="12.75" customHeight="1" thickBot="1">
      <c r="A79" s="95"/>
      <c r="B79" s="134"/>
      <c r="C79" s="152" t="s">
        <v>291</v>
      </c>
      <c r="D79" s="634"/>
      <c r="E79" s="644"/>
      <c r="F79" s="645"/>
      <c r="G79" s="649"/>
      <c r="H79" s="646"/>
      <c r="I79" s="646"/>
      <c r="J79" s="647"/>
      <c r="K79" s="648" t="s">
        <v>73</v>
      </c>
      <c r="L79" s="655">
        <f>+Subcontracts!G60</f>
        <v>0</v>
      </c>
    </row>
    <row r="80" spans="1:19" ht="24" customHeight="1" thickBot="1">
      <c r="A80" s="95"/>
      <c r="B80" s="143"/>
      <c r="C80" s="144" t="s">
        <v>296</v>
      </c>
      <c r="D80" s="145"/>
      <c r="E80" s="628"/>
      <c r="F80" s="637"/>
      <c r="G80" s="628"/>
      <c r="H80" s="628"/>
      <c r="I80" s="628"/>
      <c r="J80" s="628"/>
      <c r="K80" s="638"/>
      <c r="L80" s="148">
        <f>+L50+L53+L57+L64+L66+L67+L68+L70+L77+L79</f>
        <v>0</v>
      </c>
      <c r="M80" s="986">
        <f>IF(L80&gt;=500000,"&lt;---","")</f>
      </c>
      <c r="N80" s="985">
        <f>IF(L80&gt;=500000,"OVER $500,000--CHECK IF ALLOWED BY FOA OR IF PO APPROVAL OBTAINED","")</f>
      </c>
      <c r="O80" s="49"/>
      <c r="P80" s="49"/>
      <c r="Q80" s="49"/>
      <c r="R80" s="49"/>
      <c r="S80" s="49"/>
    </row>
    <row r="81" spans="1:12" ht="14.25" customHeight="1" thickBot="1">
      <c r="A81" s="95"/>
      <c r="B81" s="143"/>
      <c r="C81" s="152" t="s">
        <v>291</v>
      </c>
      <c r="D81" s="154"/>
      <c r="E81" s="643"/>
      <c r="F81" s="154"/>
      <c r="G81" s="632"/>
      <c r="H81" s="154"/>
      <c r="I81" s="154"/>
      <c r="J81" s="154"/>
      <c r="K81" s="626" t="s">
        <v>74</v>
      </c>
      <c r="L81" s="156">
        <f>+Subcontracts!G61</f>
        <v>0</v>
      </c>
    </row>
    <row r="82" spans="1:12" ht="24" customHeight="1" thickBot="1">
      <c r="A82" s="95"/>
      <c r="B82" s="143"/>
      <c r="C82" s="157" t="s">
        <v>295</v>
      </c>
      <c r="D82" s="158"/>
      <c r="E82" s="159"/>
      <c r="F82" s="160"/>
      <c r="G82" s="161"/>
      <c r="H82" s="161"/>
      <c r="I82" s="159"/>
      <c r="J82" s="159"/>
      <c r="K82" s="162"/>
      <c r="L82" s="163">
        <f>+L80+L81</f>
        <v>0</v>
      </c>
    </row>
    <row r="83" spans="1:12" ht="15" customHeight="1">
      <c r="A83" s="95"/>
      <c r="B83" s="143"/>
      <c r="C83" s="165" t="s">
        <v>399</v>
      </c>
      <c r="D83" s="166"/>
      <c r="E83" s="166"/>
      <c r="F83" s="166" t="s">
        <v>75</v>
      </c>
      <c r="G83" s="166"/>
      <c r="H83" s="166"/>
      <c r="I83" s="166"/>
      <c r="J83" s="166"/>
      <c r="K83" s="167"/>
      <c r="L83" s="168" t="s">
        <v>76</v>
      </c>
    </row>
    <row r="84" spans="1:12" ht="12" customHeight="1">
      <c r="A84" s="95"/>
      <c r="B84" s="143"/>
      <c r="C84" s="169"/>
      <c r="D84" s="170"/>
      <c r="E84" s="171"/>
      <c r="F84" s="170"/>
      <c r="G84" s="171"/>
      <c r="H84" s="171"/>
      <c r="I84" s="171"/>
      <c r="J84" s="171"/>
      <c r="K84" s="171"/>
      <c r="L84" s="171"/>
    </row>
    <row r="85" spans="1:12" ht="10.5">
      <c r="A85" s="95"/>
      <c r="B85" s="143"/>
      <c r="C85" s="170"/>
      <c r="D85" s="170"/>
      <c r="E85" s="171"/>
      <c r="F85" s="170"/>
      <c r="G85" s="171"/>
      <c r="H85" s="171"/>
      <c r="I85" s="171"/>
      <c r="J85" s="170"/>
      <c r="K85" s="171"/>
      <c r="L85" s="170"/>
    </row>
    <row r="86" spans="2:12" ht="0.75" customHeight="1">
      <c r="B86" s="172"/>
      <c r="C86" s="95"/>
      <c r="D86" s="95"/>
      <c r="E86" s="94"/>
      <c r="F86" s="95"/>
      <c r="G86" s="94"/>
      <c r="H86" s="94"/>
      <c r="I86" s="94"/>
      <c r="J86" s="95"/>
      <c r="K86" s="94"/>
      <c r="L86" s="95"/>
    </row>
    <row r="87" spans="2:12" ht="10.5">
      <c r="B87" s="172"/>
      <c r="L87" s="49"/>
    </row>
    <row r="88" spans="2:12" ht="10.5">
      <c r="B88" s="172"/>
      <c r="L88" s="94"/>
    </row>
    <row r="89" ht="8.25">
      <c r="B89" s="172"/>
    </row>
    <row r="90" spans="2:12" ht="10.5">
      <c r="B90" s="172"/>
      <c r="L90" s="94"/>
    </row>
    <row r="91" spans="2:11" ht="10.5">
      <c r="B91" s="172"/>
      <c r="E91" s="49"/>
      <c r="G91" s="49"/>
      <c r="H91" s="49"/>
      <c r="I91" s="49"/>
      <c r="K91" s="49"/>
    </row>
    <row r="92" spans="2:12" ht="10.5">
      <c r="B92" s="172"/>
      <c r="E92" s="49"/>
      <c r="G92" s="49"/>
      <c r="H92" s="49"/>
      <c r="I92" s="49"/>
      <c r="L92" s="94"/>
    </row>
    <row r="93" spans="2:11" ht="10.5">
      <c r="B93" s="172"/>
      <c r="C93" s="49"/>
      <c r="D93" s="49"/>
      <c r="E93" s="49"/>
      <c r="G93" s="49"/>
      <c r="H93" s="49"/>
      <c r="I93" s="49"/>
      <c r="K93" s="49"/>
    </row>
    <row r="94" spans="2:12" ht="10.5">
      <c r="B94" s="172"/>
      <c r="C94" s="49"/>
      <c r="D94" s="49"/>
      <c r="E94" s="49"/>
      <c r="F94" s="49"/>
      <c r="G94" s="49"/>
      <c r="H94" s="49"/>
      <c r="I94" s="49"/>
      <c r="J94" s="49"/>
      <c r="L94" s="49"/>
    </row>
    <row r="95" spans="2:12" ht="10.5">
      <c r="B95" s="172"/>
      <c r="C95" s="49"/>
      <c r="D95" s="49"/>
      <c r="E95" s="49"/>
      <c r="F95" s="49"/>
      <c r="G95" s="49"/>
      <c r="H95" s="49"/>
      <c r="I95" s="49"/>
      <c r="J95" s="49"/>
      <c r="K95" s="49"/>
      <c r="L95" s="49"/>
    </row>
    <row r="96" spans="2:12" ht="10.5">
      <c r="B96" s="172"/>
      <c r="C96" s="49"/>
      <c r="D96" s="49"/>
      <c r="E96" s="49"/>
      <c r="F96" s="49"/>
      <c r="G96" s="49"/>
      <c r="H96" s="49"/>
      <c r="I96" s="49"/>
      <c r="J96" s="49"/>
      <c r="K96" s="49"/>
      <c r="L96" s="49"/>
    </row>
    <row r="97" spans="2:12" ht="10.5">
      <c r="B97" s="172"/>
      <c r="C97" s="49"/>
      <c r="D97" s="49"/>
      <c r="E97" s="49"/>
      <c r="F97" s="49"/>
      <c r="G97" s="49"/>
      <c r="H97" s="49"/>
      <c r="I97" s="49"/>
      <c r="J97" s="49"/>
      <c r="K97" s="49"/>
      <c r="L97" s="49"/>
    </row>
    <row r="98" spans="2:12" ht="9" customHeight="1">
      <c r="B98" s="172"/>
      <c r="C98" s="49"/>
      <c r="D98" s="49"/>
      <c r="E98" s="49"/>
      <c r="F98" s="49"/>
      <c r="G98" s="49"/>
      <c r="H98" s="49"/>
      <c r="I98" s="49"/>
      <c r="J98" s="49"/>
      <c r="K98" s="49"/>
      <c r="L98" s="49"/>
    </row>
    <row r="99" spans="2:12" ht="10.5">
      <c r="B99" s="172"/>
      <c r="C99" s="49"/>
      <c r="D99" s="49"/>
      <c r="E99" s="49"/>
      <c r="F99" s="49"/>
      <c r="G99" s="49"/>
      <c r="H99" s="49"/>
      <c r="I99" s="49"/>
      <c r="J99" s="49"/>
      <c r="K99" s="49"/>
      <c r="L99" s="49"/>
    </row>
    <row r="100" spans="2:12" ht="16.5" customHeight="1">
      <c r="B100" s="172"/>
      <c r="C100" s="49"/>
      <c r="D100" s="49"/>
      <c r="E100" s="49"/>
      <c r="F100" s="49"/>
      <c r="G100" s="49"/>
      <c r="H100" s="49"/>
      <c r="I100" s="49"/>
      <c r="J100" s="49"/>
      <c r="K100" s="49"/>
      <c r="L100" s="49"/>
    </row>
    <row r="101" spans="2:12" ht="16.5" customHeight="1">
      <c r="B101" s="172"/>
      <c r="C101" s="49"/>
      <c r="D101" s="49"/>
      <c r="E101" s="49"/>
      <c r="F101" s="49"/>
      <c r="G101" s="49"/>
      <c r="H101" s="49"/>
      <c r="I101" s="49"/>
      <c r="J101" s="49"/>
      <c r="K101" s="49"/>
      <c r="L101" s="49"/>
    </row>
    <row r="102" spans="2:12" ht="10.5" customHeight="1">
      <c r="B102" s="172"/>
      <c r="C102" s="49"/>
      <c r="D102" s="49"/>
      <c r="E102" s="49"/>
      <c r="F102" s="49"/>
      <c r="G102" s="49"/>
      <c r="H102" s="49"/>
      <c r="I102" s="49"/>
      <c r="J102" s="49"/>
      <c r="K102" s="49"/>
      <c r="L102" s="49"/>
    </row>
    <row r="103" spans="2:12" ht="10.5" customHeight="1">
      <c r="B103" s="172"/>
      <c r="C103" s="49"/>
      <c r="D103" s="49"/>
      <c r="E103" s="49"/>
      <c r="F103" s="49"/>
      <c r="G103" s="49"/>
      <c r="H103" s="49"/>
      <c r="I103" s="49"/>
      <c r="J103" s="49"/>
      <c r="K103" s="49"/>
      <c r="L103" s="49"/>
    </row>
    <row r="104" spans="2:12" ht="10.5" customHeight="1">
      <c r="B104" s="172"/>
      <c r="C104" s="49"/>
      <c r="D104" s="49"/>
      <c r="E104" s="49"/>
      <c r="F104" s="49"/>
      <c r="G104" s="49"/>
      <c r="H104" s="49"/>
      <c r="I104" s="49"/>
      <c r="J104" s="49"/>
      <c r="K104" s="49"/>
      <c r="L104" s="49"/>
    </row>
    <row r="105" spans="2:12" ht="10.5" customHeight="1">
      <c r="B105" s="172"/>
      <c r="C105" s="49"/>
      <c r="D105" s="49"/>
      <c r="E105" s="49"/>
      <c r="F105" s="49"/>
      <c r="G105" s="49"/>
      <c r="H105" s="49"/>
      <c r="I105" s="49"/>
      <c r="J105" s="49"/>
      <c r="K105" s="49"/>
      <c r="L105" s="49"/>
    </row>
    <row r="106" spans="2:12" ht="10.5" customHeight="1">
      <c r="B106" s="172"/>
      <c r="C106" s="49"/>
      <c r="D106" s="49"/>
      <c r="E106" s="49"/>
      <c r="F106" s="49"/>
      <c r="G106" s="49"/>
      <c r="H106" s="49"/>
      <c r="I106" s="49"/>
      <c r="J106" s="49"/>
      <c r="K106" s="49"/>
      <c r="L106" s="49"/>
    </row>
    <row r="107" spans="2:12" ht="10.5" customHeight="1">
      <c r="B107" s="172"/>
      <c r="C107" s="49"/>
      <c r="D107" s="49"/>
      <c r="E107" s="49"/>
      <c r="F107" s="49"/>
      <c r="G107" s="49"/>
      <c r="H107" s="49"/>
      <c r="I107" s="49"/>
      <c r="J107" s="49"/>
      <c r="K107" s="49"/>
      <c r="L107" s="49"/>
    </row>
    <row r="108" spans="2:12" ht="22.5" customHeight="1">
      <c r="B108" s="172"/>
      <c r="C108" s="49"/>
      <c r="D108" s="49"/>
      <c r="E108" s="49"/>
      <c r="F108" s="49"/>
      <c r="G108" s="49"/>
      <c r="H108" s="49"/>
      <c r="I108" s="49"/>
      <c r="J108" s="49"/>
      <c r="K108" s="49"/>
      <c r="L108" s="49"/>
    </row>
    <row r="109" spans="2:12" ht="22.5" customHeight="1">
      <c r="B109" s="172"/>
      <c r="C109" s="49"/>
      <c r="D109" s="49"/>
      <c r="E109" s="49"/>
      <c r="F109" s="49"/>
      <c r="G109" s="49"/>
      <c r="H109" s="49"/>
      <c r="I109" s="49"/>
      <c r="J109" s="49"/>
      <c r="K109" s="49"/>
      <c r="L109" s="49"/>
    </row>
    <row r="110" spans="2:12" ht="22.5" customHeight="1">
      <c r="B110" s="172"/>
      <c r="C110" s="49"/>
      <c r="D110" s="49"/>
      <c r="E110" s="49"/>
      <c r="F110" s="49"/>
      <c r="G110" s="49"/>
      <c r="H110" s="49"/>
      <c r="I110" s="49"/>
      <c r="J110" s="49"/>
      <c r="K110" s="49"/>
      <c r="L110" s="49"/>
    </row>
    <row r="111" spans="2:12" ht="22.5" customHeight="1">
      <c r="B111" s="172"/>
      <c r="C111" s="49"/>
      <c r="D111" s="49"/>
      <c r="E111" s="49"/>
      <c r="F111" s="49"/>
      <c r="G111" s="49"/>
      <c r="H111" s="49"/>
      <c r="I111" s="49"/>
      <c r="J111" s="49"/>
      <c r="K111" s="49"/>
      <c r="L111" s="49"/>
    </row>
    <row r="112" spans="2:12" ht="22.5" customHeight="1">
      <c r="B112" s="172"/>
      <c r="C112" s="49"/>
      <c r="D112" s="49"/>
      <c r="E112" s="49"/>
      <c r="F112" s="49"/>
      <c r="G112" s="49"/>
      <c r="H112" s="49"/>
      <c r="I112" s="49"/>
      <c r="J112" s="49"/>
      <c r="K112" s="49"/>
      <c r="L112" s="49"/>
    </row>
    <row r="113" spans="3:12" ht="22.5" customHeight="1">
      <c r="C113" s="49"/>
      <c r="D113" s="49"/>
      <c r="E113" s="49"/>
      <c r="F113" s="49"/>
      <c r="G113" s="49"/>
      <c r="H113" s="49"/>
      <c r="I113" s="49"/>
      <c r="J113" s="49"/>
      <c r="K113" s="49"/>
      <c r="L113" s="49"/>
    </row>
    <row r="114" spans="3:12" ht="12.75" customHeight="1">
      <c r="C114" s="49"/>
      <c r="D114" s="49"/>
      <c r="E114" s="49"/>
      <c r="F114" s="49"/>
      <c r="G114" s="49"/>
      <c r="H114" s="49"/>
      <c r="I114" s="49"/>
      <c r="J114" s="49"/>
      <c r="K114" s="49"/>
      <c r="L114" s="49"/>
    </row>
    <row r="115" spans="3:12" ht="10.5" customHeight="1">
      <c r="C115" s="49"/>
      <c r="D115" s="49"/>
      <c r="E115" s="49"/>
      <c r="F115" s="49"/>
      <c r="G115" s="49"/>
      <c r="H115" s="49"/>
      <c r="I115" s="49"/>
      <c r="J115" s="49"/>
      <c r="K115" s="49"/>
      <c r="L115" s="49"/>
    </row>
    <row r="116" spans="3:12" ht="22.5" customHeight="1">
      <c r="C116" s="49"/>
      <c r="D116" s="49"/>
      <c r="E116" s="49"/>
      <c r="F116" s="49"/>
      <c r="G116" s="49"/>
      <c r="H116" s="49"/>
      <c r="I116" s="49"/>
      <c r="J116" s="49"/>
      <c r="K116" s="49"/>
      <c r="L116" s="49"/>
    </row>
    <row r="117" spans="3:12" ht="22.5" customHeight="1">
      <c r="C117" s="49"/>
      <c r="D117" s="49"/>
      <c r="E117" s="49"/>
      <c r="F117" s="49"/>
      <c r="G117" s="49"/>
      <c r="H117" s="49"/>
      <c r="I117" s="49"/>
      <c r="J117" s="49"/>
      <c r="K117" s="49"/>
      <c r="L117" s="49"/>
    </row>
    <row r="118" spans="3:12" ht="12.75" customHeight="1">
      <c r="C118" s="49"/>
      <c r="D118" s="49"/>
      <c r="E118" s="49"/>
      <c r="F118" s="49"/>
      <c r="G118" s="49"/>
      <c r="H118" s="49"/>
      <c r="I118" s="49"/>
      <c r="J118" s="49"/>
      <c r="K118" s="49"/>
      <c r="L118" s="49"/>
    </row>
    <row r="119" spans="3:12" ht="10.5" customHeight="1">
      <c r="C119" s="49"/>
      <c r="D119" s="49"/>
      <c r="E119" s="49"/>
      <c r="F119" s="49"/>
      <c r="G119" s="49"/>
      <c r="H119" s="49"/>
      <c r="I119" s="49"/>
      <c r="J119" s="49"/>
      <c r="K119" s="49"/>
      <c r="L119" s="49"/>
    </row>
    <row r="120" spans="3:12" ht="27" customHeight="1">
      <c r="C120" s="49"/>
      <c r="D120" s="49"/>
      <c r="E120" s="49"/>
      <c r="F120" s="49"/>
      <c r="G120" s="49"/>
      <c r="H120" s="49"/>
      <c r="I120" s="49"/>
      <c r="J120" s="49"/>
      <c r="K120" s="49"/>
      <c r="L120" s="49"/>
    </row>
    <row r="121" spans="3:12" ht="9" customHeight="1">
      <c r="C121" s="49"/>
      <c r="D121" s="49"/>
      <c r="E121" s="49"/>
      <c r="F121" s="49"/>
      <c r="G121" s="49"/>
      <c r="H121" s="49"/>
      <c r="I121" s="49"/>
      <c r="J121" s="49"/>
      <c r="K121" s="49"/>
      <c r="L121" s="49"/>
    </row>
    <row r="122" spans="3:12" ht="0.75" customHeight="1">
      <c r="C122" s="49"/>
      <c r="D122" s="49"/>
      <c r="E122" s="49"/>
      <c r="F122" s="49"/>
      <c r="G122" s="49"/>
      <c r="H122" s="49"/>
      <c r="I122" s="49"/>
      <c r="J122" s="49"/>
      <c r="K122" s="49"/>
      <c r="L122" s="49"/>
    </row>
    <row r="123" spans="3:12" ht="21.75" customHeight="1"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3:12" ht="12" customHeight="1">
      <c r="C124" s="49"/>
      <c r="D124" s="49"/>
      <c r="E124" s="49"/>
      <c r="F124" s="49"/>
      <c r="G124" s="49"/>
      <c r="H124" s="49"/>
      <c r="I124" s="49"/>
      <c r="J124" s="49"/>
      <c r="K124" s="49"/>
      <c r="L124" s="49"/>
    </row>
    <row r="125" spans="3:12" ht="0.75" customHeight="1"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3:12" ht="12.75" customHeight="1">
      <c r="C126" s="49"/>
      <c r="D126" s="49"/>
      <c r="E126" s="49"/>
      <c r="F126" s="49"/>
      <c r="G126" s="49"/>
      <c r="H126" s="49"/>
      <c r="I126" s="49"/>
      <c r="J126" s="49"/>
      <c r="K126" s="49"/>
      <c r="L126" s="49"/>
    </row>
    <row r="127" spans="3:12" ht="10.5" customHeight="1">
      <c r="C127" s="49"/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3:12" ht="10.5">
      <c r="C128" s="49"/>
      <c r="D128" s="49"/>
      <c r="E128" s="49"/>
      <c r="F128" s="49"/>
      <c r="G128" s="49"/>
      <c r="H128" s="49"/>
      <c r="I128" s="49"/>
      <c r="J128" s="49"/>
      <c r="K128" s="49"/>
      <c r="L128" s="49"/>
    </row>
    <row r="129" spans="3:11" ht="10.5" customHeight="1">
      <c r="C129" s="49"/>
      <c r="D129" s="49"/>
      <c r="E129" s="49"/>
      <c r="F129" s="49"/>
      <c r="G129" s="49"/>
      <c r="H129" s="49"/>
      <c r="I129" s="49"/>
      <c r="J129" s="49"/>
      <c r="K129" s="49"/>
    </row>
    <row r="130" ht="10.5" customHeight="1"/>
    <row r="132" ht="10.5" customHeight="1"/>
    <row r="133" ht="10.5" customHeight="1"/>
    <row r="135" ht="10.5" customHeight="1"/>
    <row r="136" ht="10.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</sheetData>
  <sheetProtection sheet="1"/>
  <mergeCells count="114">
    <mergeCell ref="I18:I19"/>
    <mergeCell ref="C74:D74"/>
    <mergeCell ref="C75:D75"/>
    <mergeCell ref="C76:D76"/>
    <mergeCell ref="C66:D66"/>
    <mergeCell ref="C72:D72"/>
    <mergeCell ref="F72:J72"/>
    <mergeCell ref="F73:J73"/>
    <mergeCell ref="C73:D73"/>
    <mergeCell ref="C63:D63"/>
    <mergeCell ref="F63:J63"/>
    <mergeCell ref="F64:J64"/>
    <mergeCell ref="C77:D77"/>
    <mergeCell ref="F74:J74"/>
    <mergeCell ref="F75:J75"/>
    <mergeCell ref="F76:J76"/>
    <mergeCell ref="F77:J77"/>
    <mergeCell ref="C64:D64"/>
    <mergeCell ref="C60:D60"/>
    <mergeCell ref="C61:D61"/>
    <mergeCell ref="C62:D62"/>
    <mergeCell ref="C57:D57"/>
    <mergeCell ref="C56:D56"/>
    <mergeCell ref="F59:J59"/>
    <mergeCell ref="F60:J60"/>
    <mergeCell ref="F61:J61"/>
    <mergeCell ref="F62:J62"/>
    <mergeCell ref="F57:J57"/>
    <mergeCell ref="C52:D52"/>
    <mergeCell ref="C53:D53"/>
    <mergeCell ref="F52:J52"/>
    <mergeCell ref="F53:J53"/>
    <mergeCell ref="C59:D59"/>
    <mergeCell ref="F55:J55"/>
    <mergeCell ref="F56:J56"/>
    <mergeCell ref="C55:D55"/>
    <mergeCell ref="C48:D49"/>
    <mergeCell ref="F48:F49"/>
    <mergeCell ref="C44:D45"/>
    <mergeCell ref="F44:F45"/>
    <mergeCell ref="C46:D47"/>
    <mergeCell ref="F46:F47"/>
    <mergeCell ref="E48:E49"/>
    <mergeCell ref="C42:D43"/>
    <mergeCell ref="F42:F43"/>
    <mergeCell ref="E44:E45"/>
    <mergeCell ref="E46:E47"/>
    <mergeCell ref="C36:D37"/>
    <mergeCell ref="F36:F37"/>
    <mergeCell ref="C38:D39"/>
    <mergeCell ref="F38:F39"/>
    <mergeCell ref="C40:D41"/>
    <mergeCell ref="F40:F41"/>
    <mergeCell ref="C32:D33"/>
    <mergeCell ref="F32:F33"/>
    <mergeCell ref="C34:D35"/>
    <mergeCell ref="F34:F35"/>
    <mergeCell ref="E32:E33"/>
    <mergeCell ref="E34:E35"/>
    <mergeCell ref="C28:D29"/>
    <mergeCell ref="F28:F29"/>
    <mergeCell ref="C30:D31"/>
    <mergeCell ref="F30:F31"/>
    <mergeCell ref="E28:E29"/>
    <mergeCell ref="E30:E31"/>
    <mergeCell ref="C24:D25"/>
    <mergeCell ref="F24:F25"/>
    <mergeCell ref="C26:D27"/>
    <mergeCell ref="F26:F27"/>
    <mergeCell ref="E24:E25"/>
    <mergeCell ref="E26:E27"/>
    <mergeCell ref="C20:D21"/>
    <mergeCell ref="F20:F21"/>
    <mergeCell ref="C22:D23"/>
    <mergeCell ref="F22:F23"/>
    <mergeCell ref="E20:E21"/>
    <mergeCell ref="E22:E23"/>
    <mergeCell ref="E36:E37"/>
    <mergeCell ref="E38:E39"/>
    <mergeCell ref="E40:E41"/>
    <mergeCell ref="E42:E43"/>
    <mergeCell ref="F18:F19"/>
    <mergeCell ref="G18:G19"/>
    <mergeCell ref="G26:G27"/>
    <mergeCell ref="G34:G35"/>
    <mergeCell ref="H18:H19"/>
    <mergeCell ref="G20:G21"/>
    <mergeCell ref="H20:H21"/>
    <mergeCell ref="G22:G23"/>
    <mergeCell ref="H22:H23"/>
    <mergeCell ref="G24:G25"/>
    <mergeCell ref="H24:H25"/>
    <mergeCell ref="H26:H27"/>
    <mergeCell ref="G28:G29"/>
    <mergeCell ref="H28:H29"/>
    <mergeCell ref="G30:G31"/>
    <mergeCell ref="H30:H31"/>
    <mergeCell ref="G32:G33"/>
    <mergeCell ref="H32:H33"/>
    <mergeCell ref="H34:H35"/>
    <mergeCell ref="G36:G37"/>
    <mergeCell ref="H36:H37"/>
    <mergeCell ref="G38:G39"/>
    <mergeCell ref="H38:H39"/>
    <mergeCell ref="G40:G41"/>
    <mergeCell ref="H40:H41"/>
    <mergeCell ref="G48:G49"/>
    <mergeCell ref="H48:H49"/>
    <mergeCell ref="G42:G43"/>
    <mergeCell ref="H42:H43"/>
    <mergeCell ref="G44:G45"/>
    <mergeCell ref="H44:H45"/>
    <mergeCell ref="G46:G47"/>
    <mergeCell ref="H46:H47"/>
  </mergeCells>
  <printOptions horizontalCentered="1"/>
  <pageMargins left="0.35" right="0.25" top="0.2" bottom="0" header="0.5" footer="0.5"/>
  <pageSetup fitToHeight="1" fitToWidth="1" horizontalDpi="600" verticalDpi="600" orientation="portrait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3:AI54"/>
  <sheetViews>
    <sheetView showGridLines="0" showZeros="0" zoomScale="75" zoomScaleNormal="75" zoomScalePageLayoutView="0" workbookViewId="0" topLeftCell="A1">
      <selection activeCell="C21" sqref="C21"/>
    </sheetView>
  </sheetViews>
  <sheetFormatPr defaultColWidth="6.8515625" defaultRowHeight="12.75"/>
  <cols>
    <col min="1" max="1" width="17.7109375" style="95" customWidth="1"/>
    <col min="2" max="2" width="14.421875" style="95" customWidth="1"/>
    <col min="3" max="3" width="15.7109375" style="95" customWidth="1"/>
    <col min="4" max="4" width="16.140625" style="95" customWidth="1"/>
    <col min="5" max="7" width="15.7109375" style="95" customWidth="1"/>
    <col min="8" max="16384" width="6.8515625" style="95" customWidth="1"/>
  </cols>
  <sheetData>
    <row r="3" ht="15.75">
      <c r="A3" s="179"/>
    </row>
    <row r="4" spans="1:11" ht="23.25">
      <c r="A4" s="180"/>
      <c r="B4" s="733" t="s">
        <v>363</v>
      </c>
      <c r="D4" s="102"/>
      <c r="E4" s="149">
        <f>+FacePage!$B$14</f>
        <v>0</v>
      </c>
      <c r="F4" s="150"/>
      <c r="G4" s="164"/>
      <c r="H4" s="181"/>
      <c r="I4" s="181"/>
      <c r="J4" s="181"/>
      <c r="K4" s="181"/>
    </row>
    <row r="5" spans="1:11" ht="3" customHeight="1">
      <c r="A5" s="182"/>
      <c r="B5" s="116"/>
      <c r="C5" s="183"/>
      <c r="D5" s="102"/>
      <c r="E5" s="155"/>
      <c r="F5" s="183"/>
      <c r="G5" s="102"/>
      <c r="H5" s="181"/>
      <c r="I5" s="181"/>
      <c r="J5" s="181"/>
      <c r="K5" s="181"/>
    </row>
    <row r="6" spans="1:11" ht="15" customHeight="1">
      <c r="A6" s="184"/>
      <c r="B6" s="184"/>
      <c r="C6" s="892" t="s">
        <v>414</v>
      </c>
      <c r="D6" s="731"/>
      <c r="E6" s="185"/>
      <c r="F6" s="185"/>
      <c r="G6" s="185"/>
      <c r="H6" s="181"/>
      <c r="I6" s="181"/>
      <c r="J6" s="181"/>
      <c r="K6" s="181"/>
    </row>
    <row r="7" spans="1:11" ht="15" customHeight="1">
      <c r="A7" s="186"/>
      <c r="B7" s="186"/>
      <c r="C7" s="893" t="s">
        <v>415</v>
      </c>
      <c r="D7" s="732"/>
      <c r="E7" s="187"/>
      <c r="F7" s="187"/>
      <c r="G7" s="187"/>
      <c r="H7" s="181"/>
      <c r="I7" s="181"/>
      <c r="J7" s="181"/>
      <c r="K7" s="181"/>
    </row>
    <row r="8" spans="1:11" ht="15" customHeight="1">
      <c r="A8" s="1068" t="s">
        <v>335</v>
      </c>
      <c r="B8" s="1069"/>
      <c r="C8" s="729" t="s">
        <v>88</v>
      </c>
      <c r="D8" s="1084" t="s">
        <v>410</v>
      </c>
      <c r="E8" s="1065" t="s">
        <v>411</v>
      </c>
      <c r="F8" s="1084" t="s">
        <v>412</v>
      </c>
      <c r="G8" s="1065" t="s">
        <v>413</v>
      </c>
      <c r="H8" s="94"/>
      <c r="I8" s="181"/>
      <c r="J8" s="181"/>
      <c r="K8" s="181"/>
    </row>
    <row r="9" spans="1:11" ht="9.75" customHeight="1">
      <c r="A9" s="1070"/>
      <c r="B9" s="1071"/>
      <c r="C9" s="729" t="s">
        <v>89</v>
      </c>
      <c r="D9" s="1085"/>
      <c r="E9" s="1066"/>
      <c r="F9" s="1085"/>
      <c r="G9" s="1066"/>
      <c r="H9" s="94"/>
      <c r="I9" s="94"/>
      <c r="J9" s="94"/>
      <c r="K9" s="94"/>
    </row>
    <row r="10" spans="1:11" ht="12.75" customHeight="1">
      <c r="A10" s="1072"/>
      <c r="B10" s="1073"/>
      <c r="C10" s="730" t="s">
        <v>90</v>
      </c>
      <c r="D10" s="1086"/>
      <c r="E10" s="1067"/>
      <c r="F10" s="1086"/>
      <c r="G10" s="1067"/>
      <c r="H10" s="94"/>
      <c r="I10" s="94"/>
      <c r="J10" s="94"/>
      <c r="K10" s="94"/>
    </row>
    <row r="11" spans="1:11" ht="12.75">
      <c r="A11" s="1074" t="s">
        <v>336</v>
      </c>
      <c r="B11" s="1075"/>
      <c r="C11" s="189"/>
      <c r="D11" s="189"/>
      <c r="E11" s="189"/>
      <c r="F11" s="189"/>
      <c r="G11" s="190"/>
      <c r="H11" s="181"/>
      <c r="I11" s="181"/>
      <c r="J11" s="181"/>
      <c r="K11" s="181"/>
    </row>
    <row r="12" spans="1:35" ht="15">
      <c r="A12" s="1076"/>
      <c r="B12" s="1077"/>
      <c r="C12" s="734">
        <f>+'Year 1'!$L$50</f>
        <v>0</v>
      </c>
      <c r="D12" s="735">
        <f>IF(Subcontracts!$F$5&gt;=2,+'Year 2'!L50,)</f>
        <v>0</v>
      </c>
      <c r="E12" s="736">
        <f>IF(Subcontracts!$F$5&gt;=3,+'Year 3'!L50,)</f>
        <v>0</v>
      </c>
      <c r="F12" s="736">
        <f>IF(Subcontracts!$F$5&gt;=4,+'Year 4'!L50,)</f>
        <v>0</v>
      </c>
      <c r="G12" s="737">
        <f>IF(Subcontracts!$F$5&gt;=5,+'Year 5'!L50,)</f>
        <v>0</v>
      </c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</row>
    <row r="13" spans="1:35" ht="9" customHeight="1">
      <c r="A13" s="1078"/>
      <c r="B13" s="1079"/>
      <c r="C13" s="191"/>
      <c r="D13" s="192"/>
      <c r="E13" s="193"/>
      <c r="F13" s="193"/>
      <c r="G13" s="192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</row>
    <row r="14" spans="1:35" ht="22.5" customHeight="1">
      <c r="A14" s="726" t="s">
        <v>71</v>
      </c>
      <c r="B14" s="194"/>
      <c r="C14" s="760">
        <f>+'Year 1'!$L$53</f>
        <v>0</v>
      </c>
      <c r="D14" s="761">
        <f>IF(Subcontracts!$F$5&gt;=2,+'Year 2'!L53,)</f>
        <v>0</v>
      </c>
      <c r="E14" s="761">
        <f>IF(Subcontracts!$F$5&gt;=3,+'Year 3'!L53,)</f>
        <v>0</v>
      </c>
      <c r="F14" s="761">
        <f>IF(Subcontracts!$F$5&gt;=4,+'Year 4'!L53,)</f>
        <v>0</v>
      </c>
      <c r="G14" s="762">
        <f>IF(Subcontracts!$F$5&gt;=5,+'Year 5'!L53,)</f>
        <v>0</v>
      </c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5" ht="21.75" customHeight="1">
      <c r="A15" s="726" t="s">
        <v>91</v>
      </c>
      <c r="B15" s="194"/>
      <c r="C15" s="760">
        <f>+'Year 1'!$L$57</f>
        <v>0</v>
      </c>
      <c r="D15" s="761">
        <f>IF(Subcontracts!$F$5&gt;=2,+'Year 2'!L57,)</f>
        <v>0</v>
      </c>
      <c r="E15" s="761">
        <f>IF(Subcontracts!$F$5&gt;=3,+'Year 3'!L57,)</f>
        <v>0</v>
      </c>
      <c r="F15" s="761">
        <f>IF(Subcontracts!$F$5&gt;=4,+'Year 4'!L57,)</f>
        <v>0</v>
      </c>
      <c r="G15" s="762">
        <f>IF(Subcontracts!$F$5&gt;=5,+'Year 5'!L57,)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</row>
    <row r="16" spans="1:35" ht="22.5" customHeight="1">
      <c r="A16" s="726" t="s">
        <v>92</v>
      </c>
      <c r="B16" s="194"/>
      <c r="C16" s="760">
        <f>+'Year 1'!$L$64</f>
        <v>0</v>
      </c>
      <c r="D16" s="761">
        <f>IF(Subcontracts!$F$5&gt;=2,+'Year 2'!L64,)</f>
        <v>0</v>
      </c>
      <c r="E16" s="761">
        <f>IF(Subcontracts!$F$5&gt;=3,+'Year 3'!L64,)</f>
        <v>0</v>
      </c>
      <c r="F16" s="761">
        <f>IF(Subcontracts!$F$5&gt;=4,+'Year 4'!L64,)</f>
        <v>0</v>
      </c>
      <c r="G16" s="762">
        <f>IF(Subcontracts!$F$5&gt;=5,+'Year 5'!L64,)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</row>
    <row r="17" spans="1:35" ht="22.5" customHeight="1">
      <c r="A17" s="728" t="s">
        <v>72</v>
      </c>
      <c r="B17" s="194"/>
      <c r="C17" s="760">
        <f>+'Year 1'!$L$66</f>
        <v>0</v>
      </c>
      <c r="D17" s="761">
        <f>IF(Subcontracts!$F$5&gt;=2,+'Year 2'!L66,)</f>
        <v>0</v>
      </c>
      <c r="E17" s="761">
        <f>IF(Subcontracts!$F$5&gt;=3,+'Year 3'!L66,)</f>
        <v>0</v>
      </c>
      <c r="F17" s="761">
        <f>IF(Subcontracts!$F$5&gt;=4,+'Year 4'!L66,)</f>
        <v>0</v>
      </c>
      <c r="G17" s="762">
        <f>IF(Subcontracts!$F$5&gt;=5,+'Year 5'!L66,)</f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</row>
    <row r="18" spans="1:35" ht="24.75" customHeight="1">
      <c r="A18" s="896" t="s">
        <v>404</v>
      </c>
      <c r="B18" s="894"/>
      <c r="C18" s="760">
        <f>+'Year 1'!$L$67</f>
        <v>0</v>
      </c>
      <c r="D18" s="761">
        <f>IF(Subcontracts!$F$5&gt;=2,+'Year 2'!L67,)</f>
        <v>0</v>
      </c>
      <c r="E18" s="761">
        <f>IF(Subcontracts!$F$5&gt;=3,+'Year 3'!L67,)</f>
        <v>0</v>
      </c>
      <c r="F18" s="761">
        <f>IF(Subcontracts!$F$5&gt;=4,+'Year 4'!L67,)</f>
        <v>0</v>
      </c>
      <c r="G18" s="762">
        <f>IF(Subcontracts!$F$5&gt;=5,+'Year 5'!L67,)</f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</row>
    <row r="19" spans="1:35" ht="24.75" customHeight="1">
      <c r="A19" s="897" t="s">
        <v>405</v>
      </c>
      <c r="B19" s="894"/>
      <c r="C19" s="760">
        <f>+'Year 1'!$L$68</f>
        <v>0</v>
      </c>
      <c r="D19" s="763">
        <f>IF(Subcontracts!$F$5&gt;=2,+'Year 2'!L68,)</f>
        <v>0</v>
      </c>
      <c r="E19" s="763">
        <f>IF(Subcontracts!$F$5&gt;=3,+'Year 3'!L68,)</f>
        <v>0</v>
      </c>
      <c r="F19" s="763">
        <f>IF(Subcontracts!$F$5&gt;=4,+'Year 4'!L68,)</f>
        <v>0</v>
      </c>
      <c r="G19" s="764">
        <f>IF(Subcontracts!$F$5&gt;=5,+'Year 5'!L68,)</f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</row>
    <row r="20" spans="1:35" ht="17.25" customHeight="1">
      <c r="A20" s="895" t="s">
        <v>93</v>
      </c>
      <c r="B20" s="195"/>
      <c r="C20" s="765"/>
      <c r="D20" s="766"/>
      <c r="E20" s="766"/>
      <c r="F20" s="766"/>
      <c r="G20" s="767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</row>
    <row r="21" spans="1:35" ht="17.25" customHeight="1">
      <c r="A21" s="727" t="s">
        <v>94</v>
      </c>
      <c r="B21" s="194"/>
      <c r="C21" s="760">
        <f>+'Year 1'!$L$70</f>
        <v>0</v>
      </c>
      <c r="D21" s="761">
        <f>IF(Subcontracts!$F$5&gt;=2,+'Year 2'!L70,)</f>
        <v>0</v>
      </c>
      <c r="E21" s="761">
        <f>IF(Subcontracts!$F$5&gt;=3,+'Year 3'!L70,)</f>
        <v>0</v>
      </c>
      <c r="F21" s="761">
        <f>IF(Subcontracts!$F$5&gt;=4,+'Year 4'!L70,)</f>
        <v>0</v>
      </c>
      <c r="G21" s="762">
        <f>IF(Subcontracts!$F$5&gt;=5,+'Year 5'!L70,)</f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</row>
    <row r="22" spans="1:35" ht="25.5" customHeight="1">
      <c r="A22" s="728" t="s">
        <v>95</v>
      </c>
      <c r="B22" s="195"/>
      <c r="C22" s="760">
        <f>+'Year 1'!$L$77</f>
        <v>0</v>
      </c>
      <c r="D22" s="761">
        <f>IF(Subcontracts!$F$5&gt;=2,+'Year 2'!L77,)</f>
        <v>0</v>
      </c>
      <c r="E22" s="761">
        <f>IF(Subcontracts!$F$5&gt;=3,+'Year 3'!L77,)</f>
        <v>0</v>
      </c>
      <c r="F22" s="761">
        <f>IF(Subcontracts!$F$5&gt;=4,+'Year 4'!L77,)</f>
        <v>0</v>
      </c>
      <c r="G22" s="762">
        <f>IF(Subcontracts!$F$5&gt;=5,+'Year 5'!L77,)</f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</row>
    <row r="23" spans="1:35" ht="37.5" customHeight="1">
      <c r="A23" s="1082" t="s">
        <v>408</v>
      </c>
      <c r="B23" s="1083"/>
      <c r="C23" s="768">
        <f>+'Year 1'!$L$79</f>
        <v>0</v>
      </c>
      <c r="D23" s="761">
        <f>IF(Subcontracts!$F$5&gt;=2,+'Year 2'!L79,)</f>
        <v>0</v>
      </c>
      <c r="E23" s="761">
        <f>IF(Subcontracts!$F$5&gt;=3,+'Year 3'!L79,)</f>
        <v>0</v>
      </c>
      <c r="F23" s="761">
        <f>IF(Subcontracts!$F$5&gt;=4,+'Year 4'!L79,)</f>
        <v>0</v>
      </c>
      <c r="G23" s="762">
        <f>IF(Subcontracts!$F$5&gt;=5,+'Year 5'!L79,)</f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</row>
    <row r="24" spans="1:35" ht="34.5" customHeight="1">
      <c r="A24" s="1080" t="s">
        <v>297</v>
      </c>
      <c r="B24" s="1081"/>
      <c r="C24" s="760">
        <f>SUM(C12:C23)</f>
        <v>0</v>
      </c>
      <c r="D24" s="760">
        <f>SUM(D12:D23)</f>
        <v>0</v>
      </c>
      <c r="E24" s="760">
        <f>SUM(E12:E23)</f>
        <v>0</v>
      </c>
      <c r="F24" s="760">
        <f>SUM(F12:F23)</f>
        <v>0</v>
      </c>
      <c r="G24" s="769">
        <f>SUM(G12:G23)</f>
        <v>0</v>
      </c>
      <c r="H24" s="682">
        <f>SUM(C24:G24)</f>
        <v>0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</row>
    <row r="25" spans="1:35" ht="36.75" customHeight="1">
      <c r="A25" s="1082" t="s">
        <v>409</v>
      </c>
      <c r="B25" s="1082"/>
      <c r="C25" s="899">
        <f>+'Year 1'!$L$81</f>
        <v>0</v>
      </c>
      <c r="D25" s="761">
        <f>IF(Subcontracts!$F$5&gt;=2,+'Year 2'!L81,)</f>
        <v>0</v>
      </c>
      <c r="E25" s="761">
        <f>IF(Subcontracts!$F$5&gt;=3,+'Year 3'!L81,)</f>
        <v>0</v>
      </c>
      <c r="F25" s="761">
        <f>IF(Subcontracts!$F$5&gt;=4,+'Year 4'!L81,)</f>
        <v>0</v>
      </c>
      <c r="G25" s="762">
        <f>IF(Subcontracts!$F$5&gt;=5,+'Year 5'!L81,)</f>
        <v>0</v>
      </c>
      <c r="H25" s="682">
        <f>SUM(C25:G25)</f>
        <v>0</v>
      </c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</row>
    <row r="26" spans="1:35" ht="27" customHeight="1" thickBot="1">
      <c r="A26" s="898" t="s">
        <v>96</v>
      </c>
      <c r="B26" s="196"/>
      <c r="C26" s="770">
        <f>SUM(C24:C25)</f>
        <v>0</v>
      </c>
      <c r="D26" s="770">
        <f>SUM(D24:D25)</f>
        <v>0</v>
      </c>
      <c r="E26" s="770">
        <f>SUM(E24:E25)</f>
        <v>0</v>
      </c>
      <c r="F26" s="771">
        <f>SUM(F24:F25)</f>
        <v>0</v>
      </c>
      <c r="G26" s="771">
        <f>SUM(G24:G25)</f>
        <v>0</v>
      </c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</row>
    <row r="27" spans="1:8" ht="8.25">
      <c r="A27" s="197"/>
      <c r="B27" s="197"/>
      <c r="C27" s="197"/>
      <c r="D27" s="197"/>
      <c r="E27" s="198"/>
      <c r="F27" s="184"/>
      <c r="G27" s="772"/>
      <c r="H27" s="199"/>
    </row>
    <row r="28" spans="1:11" ht="19.5" customHeight="1">
      <c r="A28" s="200" t="s">
        <v>298</v>
      </c>
      <c r="B28" s="201"/>
      <c r="C28" s="201"/>
      <c r="D28" s="201"/>
      <c r="E28" s="202"/>
      <c r="F28" s="203"/>
      <c r="G28" s="773">
        <f>SUM(C26:G26)</f>
        <v>0</v>
      </c>
      <c r="H28" s="204"/>
      <c r="I28" s="205"/>
      <c r="J28" s="181"/>
      <c r="K28" s="181"/>
    </row>
    <row r="29" spans="1:9" ht="12" customHeight="1" thickBot="1">
      <c r="A29" s="196"/>
      <c r="B29" s="196"/>
      <c r="C29" s="196"/>
      <c r="D29" s="196"/>
      <c r="E29" s="196"/>
      <c r="F29" s="164"/>
      <c r="G29" s="206"/>
      <c r="H29" s="199"/>
      <c r="I29" s="207"/>
    </row>
    <row r="30" spans="1:9" ht="16.5" customHeight="1">
      <c r="A30" s="208" t="s">
        <v>299</v>
      </c>
      <c r="B30" s="102"/>
      <c r="C30" s="102"/>
      <c r="D30" s="102"/>
      <c r="E30" s="102"/>
      <c r="F30" s="102"/>
      <c r="G30" s="102"/>
      <c r="H30" s="199"/>
      <c r="I30" s="207"/>
    </row>
    <row r="31" spans="6:9" ht="8.25">
      <c r="F31" s="199"/>
      <c r="G31" s="199"/>
      <c r="H31" s="199"/>
      <c r="I31" s="209"/>
    </row>
    <row r="32" spans="1:9" ht="12.75">
      <c r="A32" s="738"/>
      <c r="B32" s="739"/>
      <c r="C32" s="738"/>
      <c r="D32" s="738"/>
      <c r="E32" s="738"/>
      <c r="F32" s="738"/>
      <c r="G32" s="738"/>
      <c r="I32" s="210"/>
    </row>
    <row r="33" spans="1:10" ht="13.5" customHeight="1">
      <c r="A33" s="740"/>
      <c r="B33" s="739"/>
      <c r="C33" s="738"/>
      <c r="D33" s="738"/>
      <c r="E33" s="738"/>
      <c r="F33" s="738"/>
      <c r="G33" s="738"/>
      <c r="J33" s="181"/>
    </row>
    <row r="34" spans="1:10" ht="13.5" customHeight="1">
      <c r="A34" s="740"/>
      <c r="B34" s="739"/>
      <c r="C34" s="738"/>
      <c r="D34" s="738"/>
      <c r="E34" s="738"/>
      <c r="F34" s="738"/>
      <c r="G34" s="738"/>
      <c r="J34" s="181"/>
    </row>
    <row r="35" spans="1:10" ht="13.5" customHeight="1">
      <c r="A35" s="740"/>
      <c r="B35" s="739"/>
      <c r="C35" s="738"/>
      <c r="D35" s="738"/>
      <c r="E35" s="738"/>
      <c r="F35" s="738"/>
      <c r="G35" s="738"/>
      <c r="J35" s="181"/>
    </row>
    <row r="36" spans="1:10" ht="13.5" customHeight="1">
      <c r="A36" s="740"/>
      <c r="B36" s="739"/>
      <c r="C36" s="738"/>
      <c r="D36" s="738"/>
      <c r="E36" s="738"/>
      <c r="F36" s="738"/>
      <c r="G36" s="738"/>
      <c r="J36" s="181"/>
    </row>
    <row r="37" spans="1:10" ht="13.5" customHeight="1">
      <c r="A37" s="740"/>
      <c r="B37" s="739"/>
      <c r="C37" s="738"/>
      <c r="D37" s="738"/>
      <c r="E37" s="738"/>
      <c r="F37" s="738"/>
      <c r="G37" s="738"/>
      <c r="J37" s="181"/>
    </row>
    <row r="38" spans="1:10" ht="13.5" customHeight="1">
      <c r="A38" s="740"/>
      <c r="B38" s="739"/>
      <c r="C38" s="738"/>
      <c r="D38" s="738"/>
      <c r="E38" s="738"/>
      <c r="F38" s="738"/>
      <c r="G38" s="738"/>
      <c r="J38" s="181"/>
    </row>
    <row r="39" spans="1:10" ht="13.5" customHeight="1">
      <c r="A39" s="740"/>
      <c r="B39" s="739"/>
      <c r="C39" s="738"/>
      <c r="D39" s="738"/>
      <c r="E39" s="738"/>
      <c r="F39" s="738"/>
      <c r="G39" s="738"/>
      <c r="J39" s="181"/>
    </row>
    <row r="40" spans="1:10" ht="13.5" customHeight="1">
      <c r="A40" s="739"/>
      <c r="B40" s="739"/>
      <c r="C40" s="738"/>
      <c r="D40" s="738"/>
      <c r="E40" s="738"/>
      <c r="F40" s="738"/>
      <c r="G40" s="738"/>
      <c r="J40" s="181"/>
    </row>
    <row r="41" spans="1:10" ht="12.75">
      <c r="A41" s="740"/>
      <c r="B41" s="739"/>
      <c r="C41" s="738"/>
      <c r="D41" s="738"/>
      <c r="E41" s="738"/>
      <c r="F41" s="738"/>
      <c r="G41" s="738"/>
      <c r="J41" s="181"/>
    </row>
    <row r="42" spans="1:10" ht="12.75">
      <c r="A42" s="740"/>
      <c r="B42" s="739"/>
      <c r="C42" s="738"/>
      <c r="D42" s="738"/>
      <c r="E42" s="738"/>
      <c r="F42" s="738"/>
      <c r="G42" s="738"/>
      <c r="J42" s="181"/>
    </row>
    <row r="43" spans="1:10" ht="12.75">
      <c r="A43" s="739"/>
      <c r="B43" s="739"/>
      <c r="C43" s="738"/>
      <c r="D43" s="738"/>
      <c r="E43" s="738"/>
      <c r="F43" s="738"/>
      <c r="G43" s="738"/>
      <c r="J43" s="181"/>
    </row>
    <row r="44" spans="1:10" ht="12.75">
      <c r="A44" s="740"/>
      <c r="B44" s="739"/>
      <c r="C44" s="738"/>
      <c r="D44" s="738"/>
      <c r="E44" s="738"/>
      <c r="F44" s="738"/>
      <c r="G44" s="738"/>
      <c r="J44" s="181"/>
    </row>
    <row r="45" spans="1:7" ht="12.75">
      <c r="A45" s="739"/>
      <c r="B45" s="739"/>
      <c r="C45" s="738"/>
      <c r="D45" s="738"/>
      <c r="E45" s="738"/>
      <c r="F45" s="738"/>
      <c r="G45" s="738"/>
    </row>
    <row r="46" spans="1:7" ht="12.75">
      <c r="A46" s="739"/>
      <c r="B46" s="739"/>
      <c r="C46" s="738"/>
      <c r="D46" s="738"/>
      <c r="E46" s="738"/>
      <c r="F46" s="738"/>
      <c r="G46" s="738"/>
    </row>
    <row r="47" spans="1:7" ht="12.75">
      <c r="A47" s="739"/>
      <c r="B47" s="739"/>
      <c r="C47" s="738"/>
      <c r="D47" s="738"/>
      <c r="E47" s="738"/>
      <c r="F47" s="738"/>
      <c r="G47" s="738"/>
    </row>
    <row r="48" spans="1:7" ht="12.75">
      <c r="A48" s="739"/>
      <c r="B48" s="739"/>
      <c r="C48" s="738"/>
      <c r="D48" s="738"/>
      <c r="E48" s="738"/>
      <c r="F48" s="738"/>
      <c r="G48" s="738"/>
    </row>
    <row r="49" spans="1:11" ht="12.75">
      <c r="A49" s="739"/>
      <c r="B49" s="739"/>
      <c r="C49" s="739"/>
      <c r="D49" s="739"/>
      <c r="E49" s="739"/>
      <c r="F49" s="739"/>
      <c r="G49" s="739"/>
      <c r="H49" s="181"/>
      <c r="I49" s="181"/>
      <c r="K49" s="181"/>
    </row>
    <row r="50" spans="1:11" ht="12.75">
      <c r="A50" s="739"/>
      <c r="B50" s="739"/>
      <c r="C50" s="739"/>
      <c r="D50" s="739"/>
      <c r="E50" s="739"/>
      <c r="F50" s="739"/>
      <c r="G50" s="739"/>
      <c r="H50" s="181"/>
      <c r="I50" s="181"/>
      <c r="K50" s="181"/>
    </row>
    <row r="51" spans="1:11" ht="12.75">
      <c r="A51" s="738"/>
      <c r="B51" s="739"/>
      <c r="C51" s="738"/>
      <c r="D51" s="739"/>
      <c r="E51" s="739"/>
      <c r="F51" s="738"/>
      <c r="G51" s="739"/>
      <c r="H51" s="181"/>
      <c r="I51" s="181"/>
      <c r="K51" s="181"/>
    </row>
    <row r="52" spans="1:11" ht="12.75">
      <c r="A52" s="738"/>
      <c r="B52" s="738"/>
      <c r="C52" s="739"/>
      <c r="D52" s="739"/>
      <c r="E52" s="739"/>
      <c r="F52" s="739"/>
      <c r="G52" s="739"/>
      <c r="H52" s="183"/>
      <c r="I52" s="181"/>
      <c r="K52" s="181"/>
    </row>
    <row r="53" spans="1:7" s="45" customFormat="1" ht="10.5">
      <c r="A53" s="211" t="s">
        <v>399</v>
      </c>
      <c r="B53" s="166"/>
      <c r="C53" s="166"/>
      <c r="D53" s="166" t="s">
        <v>75</v>
      </c>
      <c r="E53" s="166"/>
      <c r="F53" s="166"/>
      <c r="G53" s="212" t="s">
        <v>97</v>
      </c>
    </row>
    <row r="54" spans="1:9" s="45" customFormat="1" ht="10.5">
      <c r="A54" s="176"/>
      <c r="B54" s="170"/>
      <c r="C54" s="171"/>
      <c r="D54" s="170"/>
      <c r="E54" s="171"/>
      <c r="F54" s="171"/>
      <c r="G54" s="171"/>
      <c r="H54" s="171"/>
      <c r="I54" s="171"/>
    </row>
  </sheetData>
  <sheetProtection sheet="1"/>
  <mergeCells count="9">
    <mergeCell ref="G8:G10"/>
    <mergeCell ref="A8:B10"/>
    <mergeCell ref="A11:B13"/>
    <mergeCell ref="A24:B24"/>
    <mergeCell ref="A23:B23"/>
    <mergeCell ref="A25:B25"/>
    <mergeCell ref="D8:D10"/>
    <mergeCell ref="E8:E10"/>
    <mergeCell ref="F8:F10"/>
  </mergeCells>
  <printOptions horizontalCentered="1"/>
  <pageMargins left="0" right="0" top="0.5" bottom="0.25" header="0" footer="0"/>
  <pageSetup fitToHeight="1" fitToWidth="1"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Systems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Scates, Jessica</cp:lastModifiedBy>
  <cp:lastPrinted>2016-11-08T14:57:37Z</cp:lastPrinted>
  <dcterms:created xsi:type="dcterms:W3CDTF">2001-10-05T17:56:27Z</dcterms:created>
  <dcterms:modified xsi:type="dcterms:W3CDTF">2017-02-22T14:55:43Z</dcterms:modified>
  <cp:category/>
  <cp:version/>
  <cp:contentType/>
  <cp:contentStatus/>
</cp:coreProperties>
</file>